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1" activeTab="0"/>
  </bookViews>
  <sheets>
    <sheet name="BLOK OPERACYJNY" sheetId="1" r:id="rId1"/>
    <sheet name="IZBA PRZYJĘĆ" sheetId="2" r:id="rId2"/>
    <sheet name="ZESP. POM. PIELĘGNACYJNYCH" sheetId="3" r:id="rId3"/>
    <sheet name="CENTRALNA STERYLIZATORNIA" sheetId="4" r:id="rId4"/>
    <sheet name="STERYLIZATORNIA" sheetId="5" r:id="rId5"/>
    <sheet name="Pozostałe wymagania" sheetId="6" r:id="rId6"/>
    <sheet name="prawo" sheetId="7" r:id="rId7"/>
  </sheets>
  <definedNames>
    <definedName name="_xlnm.Print_Area" localSheetId="5">'Pozostałe wymagania'!$A$1:$K$130</definedName>
    <definedName name="_xlnm.Print_Area" localSheetId="4">'STERYLIZATORNIA'!$A$1:$K$34</definedName>
  </definedNames>
  <calcPr fullCalcOnLoad="1"/>
</workbook>
</file>

<file path=xl/sharedStrings.xml><?xml version="1.0" encoding="utf-8"?>
<sst xmlns="http://schemas.openxmlformats.org/spreadsheetml/2006/main" count="3737" uniqueCount="360">
  <si>
    <t/>
  </si>
  <si>
    <t>Tabela 1. Stan sanitarno-techniczny pomieszczeń, mebli i wyposażenia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</si>
  <si>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</si>
  <si>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</si>
  <si>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</si>
  <si>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</si>
  <si>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</si>
  <si>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</si>
  <si>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</si>
  <si>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</si>
  <si>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</si>
  <si>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</si>
  <si>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</si>
  <si>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</si>
  <si>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>NIE</t>
  </si>
  <si>
    <t>Decyzja merytoryczna + decyzja płatnicza</t>
  </si>
  <si>
    <t>Zniszczone, nieszczelne połączenia ścian z podłogami uniemożliwiające mycie i dezynfekcję</t>
  </si>
  <si>
    <t>Powierzchnie ścian zniszczone, ubytki, pęknięcia, ubytki w płytkach ściennych</t>
  </si>
  <si>
    <t>Nieprawidłowy stan sanitarno-techniczny wyposażenia gabinetu - ubytki powierzchni</t>
  </si>
  <si>
    <t>Brak zmywalności, zniszczenia powierzchni mebli</t>
  </si>
  <si>
    <t>Stan sanitarno-techniczny sufitów podwieszanych (jeśli dotyczy) - powierzchnie zniszczone, uniemożliwiające mycie i dezynfekcję</t>
  </si>
  <si>
    <t>Pomieszczenia nie wymagające aseptyki</t>
  </si>
  <si>
    <t>Powierzchnia podłogi zniszczona, z ubytkami, uniemożliwiająca mycie i dezynfekcję*</t>
  </si>
  <si>
    <t>Zniszczone, nieszczelne połączenia ścian z podłogami uniemożliwiające mycie i dezynfekcję*</t>
  </si>
  <si>
    <t>Nieprawidłowy stan sanitarno techniczny mebli - brak zmywalności, ubytki powierzchni**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</si>
  <si>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</si>
  <si>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 xml:space="preserve">Tabela 2. BLOK OPERACYJNY - Sala operacyjna </t>
  </si>
  <si>
    <t>Czy sytuacja w podmiocie może wpłynąć na zmianę sankcji</t>
  </si>
  <si>
    <t>Zapewnienie co najmniej jednej sali operacyjnej</t>
  </si>
  <si>
    <t>Brak co najmniej jednej sali operacyjnej z bezpośrednim połączeniem z częścią brudną bloku z zachowaniem ruchu jednokierunkowego</t>
  </si>
  <si>
    <t>Tabela 3. BLOK OPERACYJNY - Śluza dla pacjentów</t>
  </si>
  <si>
    <t>Zapewnienie śluzy dla pacjentów</t>
  </si>
  <si>
    <t>Brak śluzy dla pacjentów, przez którą pacjenci są dowożeni i wywożeni z bloku</t>
  </si>
  <si>
    <t>Tabela 4. BLOK OPERACYJNY - Śluza szatniowa dla personelu</t>
  </si>
  <si>
    <t>Zapewnienie sluzy szatniowej dla personelu</t>
  </si>
  <si>
    <t>Brak śluzy szatniowej</t>
  </si>
  <si>
    <t>Szatnia brudna</t>
  </si>
  <si>
    <t>Brak wydzielonej szatni brudnej</t>
  </si>
  <si>
    <t>Brak szafki ubraniowej z wydzieloną częścią na obuwie</t>
  </si>
  <si>
    <t>Szatnia czysta</t>
  </si>
  <si>
    <t>Brak szatni czystej</t>
  </si>
  <si>
    <t>Brak obuwia nadającego się do mycia i dezynfekcji</t>
  </si>
  <si>
    <t>Brak regału na czyste obuwie</t>
  </si>
  <si>
    <t>Brak regału na czyste ubrania</t>
  </si>
  <si>
    <t>POMIESZCZENIE HIGIENICZNO-SANITARNE
zapewnienie pomieszczenia pomiędzy szatnią czystą a brudną</t>
  </si>
  <si>
    <t>Brak pomieszczenia higieniczno-sanitarnego znajdującego się pomiędzy szatnią czystą i brudną, wyposażonego dodatkowo w natrysk</t>
  </si>
  <si>
    <t>POMIESZCZENIE HIGIENICZNO-SANITARNE
Wyposażenie umywalki do mycia rąk</t>
  </si>
  <si>
    <t>Brak umywalki z ciepłą i zimną wodą</t>
  </si>
  <si>
    <t>Brak podajników na mydło w płynie/brak mydła w płynie</t>
  </si>
  <si>
    <t>Brak pojemnika na ręczniki papierowe/brak ręczników papierowych</t>
  </si>
  <si>
    <t>Brak pojemnika na zużyte ręczniki papierowe</t>
  </si>
  <si>
    <t>POMIESZCZENIA HIGIENICZNO-SANITARNE
Dodatkowe wymagania wynikające z przepisów BHP w zakresie pomieszczeń dla peresonelu</t>
  </si>
  <si>
    <t>Brak powierzchni zmywalnej i odpornej na działanie wilgoci do wysokości co najmniej 2 metrów</t>
  </si>
  <si>
    <t>Nieodpowiedni stan pomieszczenia wraz z wyposażeniem. Brak zapewnienia przez pracodawcę stanu pomieszczenia oraz wyposażenia zapewniającego bezpieczne i higieniczne korzystanie z nich przez pracowników</t>
  </si>
  <si>
    <t>Tabela 5. BLOK OPERACYJNY - Śluza materiałowa (nie dotyczy jeśli szpital przyjął zasadę dostarczania materiału czystego i sterylnego śluzą dla pacjenta)</t>
  </si>
  <si>
    <t>Zapewnienie śluzy materiałowej</t>
  </si>
  <si>
    <t>Brak śluzy materiałowej przeznaczonej do dostarczania oraz krótkotrwałego przechowywania czystych i sterylnych materiałów</t>
  </si>
  <si>
    <t>Tabela 6. BLOK OPERACYJNY - Pomieszczenie przygotowawcze na personelu</t>
  </si>
  <si>
    <t>Zapewnienie pomieszczenia przygotowawczego dla personelu</t>
  </si>
  <si>
    <t>Brak co najmniej jednego pomieszczenia przygotowawczego dla personelu, przez które personel wchodzi do sali operacyjnej</t>
  </si>
  <si>
    <t>Brak stanowiska chirurgicznego mycia rąk</t>
  </si>
  <si>
    <t>Tabela 7. BLOK OPERACYJNY - Pomieszczenie przygotowania pacjenta</t>
  </si>
  <si>
    <t>Zapewnienie pomieszczenia przygotowania pacjenta</t>
  </si>
  <si>
    <t>Brak co najmniej jednego pomieszczenia przygotowania pacjenta</t>
  </si>
  <si>
    <t>Wyposażenie w umywalkę do mycia rąk
(Nie dotyczy pomieszczeń, w których odbywa się badanie za pomocą rezonansu magnetycznego)</t>
  </si>
  <si>
    <t>Brak co najmniej jednej umywalki z baterią z ciepłą i zimną wodą</t>
  </si>
  <si>
    <t>Brak dozownika z mydłem i/lub brak mydła</t>
  </si>
  <si>
    <t>Brak dozownika ze środkiem dezynfekcyjnym i/lub brak środka dezynfekcyjnego</t>
  </si>
  <si>
    <t>Brak pojemnika z ręcznikami jednorazowego użycia i/lub ręczników jednorazowego użycia</t>
  </si>
  <si>
    <t>Brak pojemnika na zużyte ręczniki</t>
  </si>
  <si>
    <t>Tabela 8. BLOK OPERACYJNY - Pomieszczenia dla personelu z pomieszczeniem higieniczno-sanitarnym</t>
  </si>
  <si>
    <t>Zapewnienie pomieszczenia dla personelu z pomieszczeniem higieniczno-sanitarnym</t>
  </si>
  <si>
    <t>Brak pomieszczenia dla personelu z pomieszczeniem higieniczno-sanitarnym</t>
  </si>
  <si>
    <t>Wyposażenie umywalki do mycia rąk</t>
  </si>
  <si>
    <t>Dodatkowe wymagania wynikające z przepisów BHP w zakresie pomieszczeń dla peresonelu</t>
  </si>
  <si>
    <t>Tabela 9. BLOK OPERACYJNY - Magazyn sprzętu i aparatury</t>
  </si>
  <si>
    <t>Zapewnienie magazynu sprzętu i aparatury</t>
  </si>
  <si>
    <t>Brak co najmniej jednego magazynu sprzętu i aparatury</t>
  </si>
  <si>
    <t>Tabela 10. BLOK OPERACYJNY - Magazyn czystej bielizny</t>
  </si>
  <si>
    <t>Zapewnienie magazynu czystej bielizny</t>
  </si>
  <si>
    <t>Brak co najmniej jednego magazynu czystej bielizny</t>
  </si>
  <si>
    <t>Tabela 11. BLOK OPERACYJNY - Magazyn do krótkotrwałego przechowywania brudnej bielizny</t>
  </si>
  <si>
    <t>Zapewnienie magazynu do krótkotrwałego przechowywania brudnej bielizny</t>
  </si>
  <si>
    <t>Brak co najmniej jednego magazynu do krótkotrwałego przechowywania brudnej bielizny</t>
  </si>
  <si>
    <t>Tabela 12. BLOK OPERACYJNY - Proces dekontaminacji narzędzi wielorazowego użycia 
(Jeśli dotyczy)</t>
  </si>
  <si>
    <t>Zgodność przebiegu procesu z procedurami</t>
  </si>
  <si>
    <t>Nieprzestrzeganie procedur obowiązujących w podmiocie leczniczym*</t>
  </si>
  <si>
    <t>Zalecenia pokontrolne + decyzja płatnicza</t>
  </si>
  <si>
    <t>Zapewnienie pojemników transportowych na narzędzia czyste i brudne</t>
  </si>
  <si>
    <t>Brak wydzielonych pojemników na brudne i czyste narzędzia, nie przestrzeganie wymagań dotyczących pojemników transportowych na narzędzia, brak zmywalności powierzchni pojemników, nieszczelne zamiknięcie pojemników, używanie pojemników do innych celów</t>
  </si>
  <si>
    <t>Postępowanie ze sprzętem sterylnym - kontrola, znakowanie, przechowywanie - procedury</t>
  </si>
  <si>
    <t>Nieprzestrzeganie procedur obowiązujących w podmiocie leczniczym**</t>
  </si>
  <si>
    <t xml:space="preserve">* Dotyczy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 
** Dotyczy:
- brak oznakowania datą sterylizacji i/lub datą ważności sprzętu sterylnego,
- nieprawidłowo przygotowane pakiety z narzędziami,
- brak wskaźnika chemicznego w pakiecie do zabiegów,
- nie przestrzeganie procedury przechowywania sprzętu sterylnego,
- uszkodzenie pakietu sterylnego,
- przetrzymywanie przeterminowanych pakietów ze sprzętem, narzędziami sterylizowanymi oraz sprzętem jednorazowego użycia,
- przechowywanie pakietów ułożonych zbyt ciasno, w sposób umożliwiający uszkodzenie w szufladach/szafach,
- przechowywanie zapasów pakietów sterylnych poza szczelnie zamykanymi szufladami, szafami,
- użycie przeterminowanych wyrobów jednorazowego użycia
</t>
  </si>
  <si>
    <t xml:space="preserve">Tabela 14. BLOK OPERACYJNY - Pomieszczenie porządkowe
</t>
  </si>
  <si>
    <t>Wyposażenie, przechowywanie, postępowanie ze środkami i sprzętem do sprzątania</t>
  </si>
  <si>
    <t>Brak wydzielonego pomieszczenia porządkowego</t>
  </si>
  <si>
    <t>Brak zlewu z baterią</t>
  </si>
  <si>
    <t>Brak dozownika ze środkiem dezynfekcyjnym</t>
  </si>
  <si>
    <t>Zniszczony sprzęt do sprzątania, mokry, brudny</t>
  </si>
  <si>
    <t>Tabela 15. BLOK OPERACYJNY - Środki transportu w obrębie bloku operacyjnego</t>
  </si>
  <si>
    <t>Wymagania dla środków transportu: bielizny, odpadów, narzędzi</t>
  </si>
  <si>
    <t>Środki transportu wykonane z materiałów uniemożliwiających mycie i dezynfekcję</t>
  </si>
  <si>
    <t>Brak zapewnienia przestrzeni zamkniętej dla przestrzeni ładunkowej środków transportu</t>
  </si>
  <si>
    <t>Tabela 16. BLOK OPERACYJNY - Wentylacja w bloku operacyjnym</t>
  </si>
  <si>
    <t>Wentylacja nawiewno-wywiewna lub klimatyzacja</t>
  </si>
  <si>
    <t>Brak zainstalowanej wentylacji nawiewno-wywiewnej lub klimatyzacji zapewniającej parametry jakości powietrza dostosowane do funkcji pomieszczeń</t>
  </si>
  <si>
    <t>Tabela 2. Izba Przyjęć*</t>
  </si>
  <si>
    <t>Punkt rejestracji i poczekalnia</t>
  </si>
  <si>
    <t>Brak punktu rejestracji pacjentów lub poczekalni</t>
  </si>
  <si>
    <t>Pomieszczenie zapewniające przeprowadzenie badań zwiazanych z przyjęciem pacjenta do szpitala</t>
  </si>
  <si>
    <t>Brak pomieszczenia zapewniającego przeprowadzenie badań zwiazanych z przyjęciem pacjenta do szpitala</t>
  </si>
  <si>
    <t>Pomieszczenie higieniczno-sanitarne</t>
  </si>
  <si>
    <t>Brak co najmniej jednego pomieszczenia higieniczno-sanitarnego wyposażonego dodatkowo w natrysk, przystosowanego dla osób niepełnosprawnych, w tym poruszających się na wózkach inwalidzkich</t>
  </si>
  <si>
    <t>osobne pomieszczenie przyjęć kobiet ciężarnych (dotyczy jeżeli nie organizuje się osobnej izby przyjęć dla oddziału położnictwa)</t>
  </si>
  <si>
    <t>Brak osobnej izby przyjęć dla oddziału położnictwa</t>
  </si>
  <si>
    <t>*Dotyczy w przypadku udzielania świadczeń zdrowotnych o o charakterze chirurgicznym</t>
  </si>
  <si>
    <t>Tabela 2. Wymagania dla pokoi łóżkowych</t>
  </si>
  <si>
    <t>Zapewnienie pokoi łóżkowych</t>
  </si>
  <si>
    <t>Brak pokoi łóżkowych</t>
  </si>
  <si>
    <t>Strefa łóżkowa</t>
  </si>
  <si>
    <t>Brak dostępu do łóżek z trzech stron, w tym dwóch dłuższych</t>
  </si>
  <si>
    <t>Odstępy między łóżkami zbyt małe, uniemożliwiają swobodny dostęp do pacjentów</t>
  </si>
  <si>
    <t>Szerokość pokoju łóżkowego uniemożliwia wyprowadzenie łóżka z pokoju</t>
  </si>
  <si>
    <t>Szerokość drzwi uniemożliwiająca swobodny ruch pacjentów na łóżkach</t>
  </si>
  <si>
    <t>Brak urządzeń przeciwsłonecznych (w przypadku nadmiernego naświetlenia pokoi łóżkowych)</t>
  </si>
  <si>
    <t>Wyposażenie w umywalkę do mycia rąk 
(Nie dotyczy pokojów wyposażonych w śluzę umywalkowo-fartuchową lub węzeł sanitarny oraz pokojów łożkowych w oddziale psychiatrycznym)</t>
  </si>
  <si>
    <t>Nieprawidłowy stan sanitarno-higieniczny wyposażenia umywalki (brudne, uszkodzone wyposażenie)</t>
  </si>
  <si>
    <t xml:space="preserve">Tabela 3. Punkt pielęgniarski z pokojem przygotowawczym* </t>
  </si>
  <si>
    <t>Zapewnienie punktu pielęgniarskiego z pokojem przygotowawczym pielęgniarskim</t>
  </si>
  <si>
    <t>Brak punktu pielęgniarskiego z pokojem przygotowawczym pielęgniarskim</t>
  </si>
  <si>
    <t>Tabela 4. Gabinet zabiegowy
(pomieszczenie wymagające aseptyki)</t>
  </si>
  <si>
    <t>Zapewnienie gabinetu diagnostyczno-zabiegowego</t>
  </si>
  <si>
    <t>Brak gabinetu diagnostyczno-zabiegowego</t>
  </si>
  <si>
    <t>Zapewnienie zlewu z baterią*</t>
  </si>
  <si>
    <t>Brak zlewu z baterią (niezależnie od umywalek)</t>
  </si>
  <si>
    <t>* Nie dotyczy gdy stanowiska mycia rąk personelu oraz narzędzi i sprzętu wielokrotnego użycia są zorganizowane w oddzielnym pomieszczeniu, do którego narzędzia i sprzęt są przenoszone w szczelnych pojemnikach oraz w przypadku gdy mycie i sterylizacja są przeprowadzane w innym podmiocie</t>
  </si>
  <si>
    <t>Tabela 5. Brudownik*</t>
  </si>
  <si>
    <t>Zapewnienie brudownika i wymaganego wyposażenia</t>
  </si>
  <si>
    <t>Brak zapewnienia brudownika</t>
  </si>
  <si>
    <t>Brak płuczki-dezynfektora lub urządzenia do dekontaminacji oraz utylizacji wkładów jednorazowych wraz z zawartością, które powinno być zainstalowane w sposób eliminujący zagrożenia dla pacjentów</t>
  </si>
  <si>
    <t>Brak wentylacji mechanicznej wyciągowej</t>
  </si>
  <si>
    <t>Brak wyposażenia w umywalkę</t>
  </si>
  <si>
    <t>Tabela 6. Pomieszczenia higieniczno-sanitarne
(Dla pacjentów i personelu)</t>
  </si>
  <si>
    <t>Zapewnienie pomieszczenia przystosowanego dla osób niepełnosprawnych</t>
  </si>
  <si>
    <t>Brak co najmniej jednego pomieszczenia higieniczno-sanitarnego przystosowanego dla osób niepełnosprawnych, w szczególności poruszających się na wózkach inwalidzkich</t>
  </si>
  <si>
    <t>Wyposażenie pomieszczenia higieniczno-sanitarnego</t>
  </si>
  <si>
    <t>Brak wyposażenia w natrysk</t>
  </si>
  <si>
    <t xml:space="preserve">Tabela 1. Stan sanitarno-techniczny pomieszczeń, mebli i wyposażenia* 
</t>
  </si>
  <si>
    <t>Powirzchnie ścian zniszczone, ubytki, pęknięcia, ubytki w płytkach ściennych</t>
  </si>
  <si>
    <t>Powierzchnia podłogi zniszczona, z ubytkami, uniemożliwiająca mycie i dezynfekcję**</t>
  </si>
  <si>
    <t>Zniszczone, nieszczelne połączenia ścian z podłogami uniemożliwiające mycie i dezynfekcję**</t>
  </si>
  <si>
    <t>Nieprawidłowy stan sanitarno techniczny mebli - brak zmywalności, ubytki powierzchni***</t>
  </si>
  <si>
    <t>* Pomieszczenia wymagające i niewymagające asepktyki
** Nie dotyczy pomieszczeń administracyjnych i socjalnych, poradni i gabinetów podmiotów wykonujących świadczenia z zakresu opieki psychiatrycznej i leczenia uzależnień oraz sal kinezyterapii
*** Nie dotyczy pomieszczeń administracyjnych i socjalnych, pomieszczeń w poradniach i gabinetach podmiotów wykonujących świadczenia z zakresu opieki psychiatrycznej i leczenia uzależnień</t>
  </si>
  <si>
    <t>Tabela 2. Ogólne wymagania dla Centralnej Sterylizacji</t>
  </si>
  <si>
    <t>Połączenie Centarlnej Sterylizacji z pozostałymi jednostkami szpitala (nie dotyczy samodzielnego podmiotu)</t>
  </si>
  <si>
    <t>Brak dogodnego połączenia z zespołem operacyjnym</t>
  </si>
  <si>
    <t>Trudny dostęp do pozostałych jednostek szpitala za wyjątkiem zespołu operacyjnego</t>
  </si>
  <si>
    <t>Transport materiałów sterylnych i skażonych</t>
  </si>
  <si>
    <t>Brak szczelnych wózków/pojemników do transportu materiałów sterylnych i skażonych między Centralną Sterylizacją i oddziałami</t>
  </si>
  <si>
    <t>Brak odrębnych wózków i innych elementów transportowych do strefy brudnej oraz materiałów sterylnych</t>
  </si>
  <si>
    <t>Postępowanie z wózkami i innymi elementami transportowymi</t>
  </si>
  <si>
    <t>Brak prawidłowego postępowania z wózkami i innymi elementami transportowymi*</t>
  </si>
  <si>
    <t>Podział na 3 strefy: brudną, czystą i sterylną</t>
  </si>
  <si>
    <t>Brak podziału na 3 strefy: brudną, czystą i sterylną</t>
  </si>
  <si>
    <t>Zapewnienie ruchu obrabianych materiałów od strefy burdnej do strefy sterylnej</t>
  </si>
  <si>
    <t>Rozwiązanie przestrzenne nie zapewnia ruchu obrabianych materiałów od strefy brudnej do sterylnej</t>
  </si>
  <si>
    <t>* Ze względu na:
- w przypadku dezynfekcji maszynowej brak przelotowej myjni-dezynfektora, przeznaczoną do mycia wózków i innych elementów transportowych pomiędzy strefą brudną i pomieszczeniem do wydawania materiałów sterylnych, lub
- w przypadku dezynfekcji manualnej brak pomieszczenia do mycia i dezynfekcji manualnej (ręcznej) i pomieszczenia do suszenia umytych sprzętów</t>
  </si>
  <si>
    <t>Tabela 3. Śluzy umywalkowo-fartuchowe</t>
  </si>
  <si>
    <t>Zapewnienie wejść pomiędzy strefami przez śluzy umywalkowo-fartuchowe</t>
  </si>
  <si>
    <t>Brak śluzy umywalkowo-fartuchowej pomiędzy strefą czystą a strefą brudną (Załącznik nr 1 XI ust 10)</t>
  </si>
  <si>
    <t>Brak śluzy umywalkowo-fartuchowej pomiędzy strefą czystą a strefą sterylną (Załącznik nr 1 XI ust. 10)</t>
  </si>
  <si>
    <t>Zapewnienie ustępu przy śluzie pomiędzy strefą czystą a strefą brudną</t>
  </si>
  <si>
    <t>Brak ustępu pomiędzy strefą czystą a strefą brudną (Załącznik nr 1 XI ust. 10)</t>
  </si>
  <si>
    <t>Wyposażenie śluzy umywalkowo-fartuchowej</t>
  </si>
  <si>
    <t>Brak umywalki z baterią uruchamianą bez kontaktu z dłonią</t>
  </si>
  <si>
    <t>Brak dozownika z mydłem w płynie i/lub brak mydła w płynie</t>
  </si>
  <si>
    <t>Brak dozownika ze środkiem dezynfekcyjnym uruchamianego bez kontaktu z dłonią i/lub brak środka dezynfekcyjnego</t>
  </si>
  <si>
    <t>Brak pojemnia z ręcznikami jednorazowego użycia i/lub brak ręczników jednorazowych</t>
  </si>
  <si>
    <t>Brak zamykanego pojemnika na brudną bieliznę</t>
  </si>
  <si>
    <t>Brak miejsca na ubrania z zachowaniem rozdziału ubrań czystych i brudnych</t>
  </si>
  <si>
    <t>Tabela 4. Strefa Brudna</t>
  </si>
  <si>
    <t>Myjnie-dezynfektory pomiędzy strefą brudną i czystą</t>
  </si>
  <si>
    <t>Brak myjni-dezynfektorów w liczbie i z wyposażeniem uzasadnionymi procesem technologicznym pomiędzy strefą brudną i czystą</t>
  </si>
  <si>
    <t>Tabela 5. Strefa Czysta</t>
  </si>
  <si>
    <t>Pomieszczenia do pakietowania narzędzi i bielizny</t>
  </si>
  <si>
    <t>Brak oddzielnych pomieszczeń do pakietowania narzędzi i bielizny
(zał nr 1, XI ust 8</t>
  </si>
  <si>
    <t>Pomieszczenie do załadunków materiału 
(dotyczy przypadku stosowania sterylizacji gazowej tlenkiem etylenu lub formaldehydem sprzętu nieodpornego na działania temperatury)</t>
  </si>
  <si>
    <t>Brak pomieszczenia do załadunków materiału 
(zał nr 1, XI ust 17 pkt 1</t>
  </si>
  <si>
    <t>Brak sygnalizatorów przekroczenia dopuszczalnych stężeń tlenku etylenu na stanowisku pracy</t>
  </si>
  <si>
    <t>Stosowanie sterlizatorów innych niż zasilane z jednorazowego naboju z czynnikiem sterylizującym
(zał nr 1 XI ust 19)</t>
  </si>
  <si>
    <t>Brak spalarki tlenku etylenu lub katalizatora do utylizacji tlenku etylenu (nie dotyczy jeśli umiejscowiono w części sterylnej)</t>
  </si>
  <si>
    <t>Zapewnienie przelotowych sterlizatorów pomiędzy strefą czystą i sterylną (min. 2)</t>
  </si>
  <si>
    <t>Brak przelotowych sterlizatorów pomiędzy strefą sterylną i czystą (przynajmniej 2)
(zał nr 1 XI ust 16)</t>
  </si>
  <si>
    <t>Tabela 6. Strefa Sterylna</t>
  </si>
  <si>
    <t>Pomieszczenie do degazacji sterylizowanych materiałów
(Dotyczy przypadku stosowania sterliziacji gazowej tlenkiem etylenu lub formaldehydem sprzętu nieodpornego na działanie temperatury)</t>
  </si>
  <si>
    <t>Brak pomieszczenia do degazacji sterlizowanych materiałów
(zał 1 XI ust 17 pkt 2</t>
  </si>
  <si>
    <t>Brak spalarki tlenku etylenu lub katalizatora do utylizacji tlenku etylenu (nie dotyczy jeśli umiejscowiono w części czystej)</t>
  </si>
  <si>
    <t>Pomieszczenie do wydawania materiałów sterylnych</t>
  </si>
  <si>
    <t>Brak pomieszczenia do wydawania materiałów sterylnych między strefą sterylną a ogólnodostępną szpitala</t>
  </si>
  <si>
    <t>Tabela 2. Proces sterylizacji*</t>
  </si>
  <si>
    <t>Sankcje z uwzględnieniem sytuacja w podmiocie</t>
  </si>
  <si>
    <t>Streja ciągu techonologicznego - proces dekontaminacji - zgodność przebiegu procesu z procedurami</t>
  </si>
  <si>
    <t>Nieprzestrzeganie procedur obowiązujących w podmiocie leczniczym: 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</t>
  </si>
  <si>
    <t>Postępowanie z sprzętem sterylnym - kontrola, znakowanie, przechowywanie - procedury</t>
  </si>
  <si>
    <t>Nieprzestrzeganie procedur obowiązujących w podmiocie leczniczym:
- brak oznakowania datą sterylizacji i/lub datą ważności sprzętu sterylnego,
- nieprawidłowo przygotowane pakiery z narzędziami,
- brak wskaźnika chemicznego w pakiecie do zabiegów,
- nieprzestrzeganie procedury przechowywa sprzętu sterylnego,
- przetrzymywanie przeterminowanyc pakietów ze sprzętem, narzędziami, sterylizowanymi oraz sprzętem jednorazowego użycia,
- przechowywanie pakietów ułożonych zbyt ciasno, w sposób umożliwiający uszkodzenie w szufladach, szafach,
- użycie przeterminowanych wyrobów jednorazowego użycia</t>
  </si>
  <si>
    <t>Zapewnienie pojemników transportowych na narzędzia czyste i brudne (dotyczy sterylizacji poza gabinetem zabiegowym)</t>
  </si>
  <si>
    <t>dot. sterylizacji poza gabinetem- w wydzielonym pomieszczeniu, do którego narzędzia są transportowane: brak wydzielonych pojemników na brudne i czyste narzędzia/nie przestrzeganie wymagań dot. pojemników transportowych na narzędzia: brak zmywalności pow., Nieszczelne zamknięcie pojemników, brak wydzielonych pojemników na brudne i czyste narzędzia, używanie wym. pojemników do innych celów</t>
  </si>
  <si>
    <t>strefa ciągu technologicznego sterylizacji w gabinecie zabiegowym lub w wydzielonym pomieszczeniu (sterylizacja)</t>
  </si>
  <si>
    <t>Brak wydzielonego odcinka materiałów skażonych (blat służący do wyładunku i przygotowania do mycia i dezynfekcji wstępnej lub zasadniczej.</t>
  </si>
  <si>
    <t>Nie wydzielono odcinka mycia i dezynfekcji nieprawidłowo wyposażony- brak urządzenia myjąco-dezynfekującego lub zlewu 2-komorowego</t>
  </si>
  <si>
    <t>Nie wydzielono odcinka  materiałów czystych (blat do pakowanie materiałów czystych przed sterylizacją)</t>
  </si>
  <si>
    <t>Brak sterylizatora parowego lub niskotemperaturowego (w gabinecie zabiegowym nie może znajdować się sterylizator na tlenek etylenu)</t>
  </si>
  <si>
    <t>Brak odcinka (blatu) materiałów sterylnych</t>
  </si>
  <si>
    <t>nieprawidłowy stan sanitarnotechniczny któregokolwiek z odcinków blatu - brak zmywalności powierzchni</t>
  </si>
  <si>
    <t>Umywalka do mycia rąk usytuowana w blacie roboczym</t>
  </si>
  <si>
    <t>Brak zapewnienia na każdym etapie technologicznym jednokierunkowego ruchu materiałów od punktu przyjęcia materiału skażonego do punktu wydania materału sterylnego</t>
  </si>
  <si>
    <t>Ciąg technologiczny usytuowany w odległości, która nie zapewnia swobodnego dostępu do miejsca udzielania świadczeń zdrowotnych lub w drogach komunikacji</t>
  </si>
  <si>
    <t>*Wymagania dla pomieszczeń podmiotu leczniczego w przypadku prowadzenia sterylizacji</t>
  </si>
  <si>
    <t>Tabela 2. Pokój pobytu</t>
  </si>
  <si>
    <t>Łóżka (fakultatywnie)</t>
  </si>
  <si>
    <t>Brak łóżek w pokojach pobytu</t>
  </si>
  <si>
    <t>Fotele wypoczynkowe (fakultatywnie)</t>
  </si>
  <si>
    <t>Brak foteli wypoczynkowych w pokojach pobytu</t>
  </si>
  <si>
    <t>Fotele rodziców lub opiekunów dziecka w przypadku pokoju pobytu dla dzieci (fakultatywnie)</t>
  </si>
  <si>
    <t>Brak foteli rodziców lub opiekunków dziecka w pokoju pobytu dla dzieci</t>
  </si>
  <si>
    <t>Tabela 3. Gabinet zabiegowy
(pomieszczenie wymagające aseptyki)</t>
  </si>
  <si>
    <t>Tabela 4. Gospodarka odpadami medycznymi (w miejscu wytwarzania)</t>
  </si>
  <si>
    <t>Czy stiwerdzono nieprawidłowość (Tak/Nie/Nie dotyczy)</t>
  </si>
  <si>
    <t>Szczegółowy opis nierpawidłowości</t>
  </si>
  <si>
    <t>Postępowanie z odpadami medycznymi w miejscu wytwarzania</t>
  </si>
  <si>
    <t>Nieprawidłowy sposób gromadzenia w miejscu wytwarzania odpadów medycznych (dot. odpadów o kodach 18 01 02*, 18 01 03*, 18 01 82* tzw. odpady medyczne nieostre) - zbierane w worku koloru innegi niż czerwony/ w worku przezroczystym</t>
  </si>
  <si>
    <t>NIE DOTYCZY</t>
  </si>
  <si>
    <t>Nierpawidłowy sposób gromadzenia w miejscu wytwarzania odpadów medycznych (dot. odpadów o kodach 18 01 06*, 18 01 08*, 18 01 10* tzw. odpady chemiczne (specjalne) - zmieranie w worku innego korolu niż żółty/ w worku przezroczystym)</t>
  </si>
  <si>
    <t>Nieprawidłowy sposób gromadzenia w miejscu wytwarzania odpadów medycznych (dot. odpadów o kodach 18 01 01, 18 01 04, 18 01 07, 18 01 09 tzw. odpadów pozostałych) - zmieranie w worku koloru czerwonego lub żółtego/ w worku przezroczystym)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</si>
  <si>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</si>
  <si>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</si>
  <si>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Wypełnienie worków lub pojemników odpadami powyżej 2/3 objętości</t>
  </si>
  <si>
    <t>Przetrzymywanie worków lub pojemników z odpadami powyżej 72h</t>
  </si>
  <si>
    <t>Brak opisu pojemnika lub worka z odpadami medycznymi (kod odpadów, adres zamieszkania lub siedziba wytwórcy odpadów, data zamknięcia)</t>
  </si>
  <si>
    <t>Tabela 5. Gospodarka odpadami medycznymi (zapewnienie pomieszczenia lub stacjonarnego/przenośnego urządzenia chłodniczego) - jeśli dotyczy***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</si>
  <si>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</si>
  <si>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</si>
  <si>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decyzja merytoryczna + decyzja płatnicza</t>
  </si>
  <si>
    <t>Dezynfekcja po usunięciu odpadów</t>
  </si>
  <si>
    <t>Pomieszczenie lub urządzenie - brak wykonywania dezynfekcji oraz mycia po usunięciu odpadów medycznych</t>
  </si>
  <si>
    <t>* dotyczy odpadów medycznych o kodach 18 01 02*, 18 01 03*, 18 01 82*
** dotyczy odpadów medycznych o kodach 18 01 01, 18 01 04, 18 01 07, 18 01 09
*** Nie dotyczy w przypadku ZOL w obrębie szpitala wyposażonego w miejsce do magazynowania odpadów medycznych</t>
  </si>
  <si>
    <t>Tabela 6. Gospodarka odpadami medycznymi - wymogi dotyczące pomieszczenia do przechowywania odpadów medycznych - jeśli dotyczy*</t>
  </si>
  <si>
    <t>Spełnienie wymogów dla pomieszczenia do przechowywania odpadów medycznych (jeśli dotyczy)</t>
  </si>
  <si>
    <t>Brak niezależnego wejścia do pomieszczenia do magazynowania odpadów medycznych</t>
  </si>
  <si>
    <t>Brak zabezpieczenia przed dostępem osób nieupoważnionych do pomieszczenia na magazynowanie odpadów medycznych</t>
  </si>
  <si>
    <t>Brak łatwozmywalnych i umożliwiających dezynfekcję ścian i podłóg w pomieszczeniu  do magazynowania odpadów medycznych</t>
  </si>
  <si>
    <t>Brak zabezpieczenia przed dostępem owadów, gryzoni oraz innych zwierząt do pomieszczenia  do magazynowania odpadów medycznych</t>
  </si>
  <si>
    <t>Brak drzwi wejściowych bez progu, o odpowiedniej szerokości i wysokości</t>
  </si>
  <si>
    <t>Brak wydzielonych boksów i miejsc w zależności od rodzaju magazynowanych odpadów medycznych, zgodnie z zasadami miejsca sortowania</t>
  </si>
  <si>
    <t>Brak wentylacji zapewniającej podciśnienie z zapewnieniem filtracji odprowadzanego powietrza (nie dotyczy w  przypadku zapewnienia wentylacji grawitacyjnej pod warunkiem magazynowania odpadów w szczelnie zamkniętych pojemnikach lub kontenerach  i oznakowanych w zależności od rodzaju magazynowanych odpadów medycznych)</t>
  </si>
  <si>
    <t>Brak dostępu do umywalki z ciepłą/zimną wodą wyposażoną w dozownik z mydłem i środkiem dezynfekcyjnym oraz ręcznikami (w sąsiedztwie stacjonarnego urządzenia chłodniczego)</t>
  </si>
  <si>
    <t>* Nie dotyczy w przypadku ZOL w obrębie szpitala wyposażonego w miejsce do magazynowania odpadów medycznych</t>
  </si>
  <si>
    <t>Tabela 7. Gospodarka odpadami medycznymi - wymogi dotyczące stacjonarnego/ przenośnego urządzenia chłodniczego do przechowywania odpadów - jeśli dotyczy*</t>
  </si>
  <si>
    <t>Spełnienie wymogów dla stacjonarnego urządzenia chłodniczego do przechowywania odpadów
(jeśli dotyczy)</t>
  </si>
  <si>
    <t>Brak zabezpieczenia przed dostępem osób nieupoważnionych</t>
  </si>
  <si>
    <t>Brak łatwozmywalnych i umożliwiających dezynfekcje ścian i podłóg</t>
  </si>
  <si>
    <t>Brak zabezpieczenia przed dostępem owadów, gryzoni oraz innych zwierząt</t>
  </si>
  <si>
    <t>Brak drzwi wejściowych bez progu o odpowiedniej o odpowiedniej szerokości i wysokości</t>
  </si>
  <si>
    <t>Brak termometru wewnętrznego</t>
  </si>
  <si>
    <t>Brak możliwości zamknięcia drzwi wejściowych umożliwiających ich otwarcie od wewnątrz</t>
  </si>
  <si>
    <t>Brak pomieszczenia izolującego przed wejściem do urządzenia</t>
  </si>
  <si>
    <t>Spełnienie wymagań dla przenośnego urządzenia chłodniczego</t>
  </si>
  <si>
    <t>Brak wewnętrznej powiechrzni umożliwiającej mycie i dezynfekcję</t>
  </si>
  <si>
    <t xml:space="preserve">Tabela 8. Pomieszczenie / miejsce do składowania bielizny czystej / brudnej </t>
  </si>
  <si>
    <t>Postępowanie z bielizną czystą i brudną (fartuchy personelu)</t>
  </si>
  <si>
    <t>Brak wydzielenia pomieszczenia lub miejsca na przechowywanie odzieży czystej</t>
  </si>
  <si>
    <t>Brak wydzielenia pomieszczenia lub miejsca na przechowywanie odzieży brudnej</t>
  </si>
  <si>
    <t>Tabela 9. Miejsce / pomieszczenie porządkowe*</t>
  </si>
  <si>
    <t>Wydzielenie pomieszczenia porządkowego umożliwiającego dodatkowo mycie i dezynfekcję środków transportu - dot. szpitala i innego przedsiębiorstwa, w którym udzielane są świadczenia zdrowotne stacjonarne i całodobowe</t>
  </si>
  <si>
    <t>Brak co najmniej jednego pomieszczenia porządkowego umożliwiającego dodatkowo mycie i dezynfekcję środków transportu</t>
  </si>
  <si>
    <t>Brak wydzielonego miejsca lub pomieszczenia do przechowywania środków czystości i preparatów myjąco-dezynfekcyjnych</t>
  </si>
  <si>
    <t>Brak wyposażenia w zlew z baterią</t>
  </si>
  <si>
    <t>Stan sanitarnotechniczny narzędzie do sprzątania</t>
  </si>
  <si>
    <t>Nieodpowiednia liczba nakładek na mopy - niezgodne z podziałem na strefy: gabinet, poczekalnia, pomieszczenie higieniczno-sanitarne</t>
  </si>
  <si>
    <t>*Miejsce do przechowywania środków czystości i preparatów myjąco-dezynfekcyjnych. 
W przypadku gdy ZOL jest jednostką szpitalną, wówczas wymagane co najmniej jedno pomieszczenie porządkowe dla szpitala</t>
  </si>
  <si>
    <t>Tabela 10. Udzielanie swiadczeń zdrowotnych - zgodność z procedurami</t>
  </si>
  <si>
    <t>Bezpieczne udzielanie świadczeń</t>
  </si>
  <si>
    <t>* Procedury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</si>
  <si>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11.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</si>
  <si>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</si>
  <si>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</si>
  <si>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zakaźnym,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</si>
  <si>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Nie dotyczy</t>
  </si>
  <si>
    <t>Przeprowadzanie kontroli wewnętrznej w obszarze realizacji działań zapobiegających szerzeniu się zakażeń i chorób zakaźnych</t>
  </si>
  <si>
    <t>Brak przeprowadzanych kontroli wewnętrznych</t>
  </si>
  <si>
    <t>Nieprawidłowa częstotliwość kontroli (rzadziej niż co 6 misięcy)</t>
  </si>
  <si>
    <t>Brak dokumentacji poświadczejącej przeprowadzenie kontroli wewnętrznej i/lub brak elementów wymaganych przez rozporządzenie (informacje dot. celu i zakres kontroli, imiona i nazwiska osób uczestnczących, data przeprowadzenia, opis stanu faktycznego, informacje o stwierdzonych nieprawidłowościach, zalecenia pokontrolne)</t>
  </si>
  <si>
    <t>Brak dokumentacji w siedzibie podmiotu leczniczego</t>
  </si>
  <si>
    <t>Brak rekontroli w przypadku stwierdzenia nieprawidłowości (w terminie 3 miesięcy od daty przekazania raportu)</t>
  </si>
  <si>
    <t>Niezgodny zakres kontroli z zakresem udzielanych świadczeń</t>
  </si>
  <si>
    <t>BRAK ELEMENTÓW WCHODZĄCYCH W ZAKRES KONTROLI WEWNĘTRZNEJ - brak oceny prawidłowości i skuteczności procedur zapobiegania zakażeniom i chorobom zakaźnym związanym z udzielaniem świadczeń zdrowotnych, w tym procedur dekontaminacji</t>
  </si>
  <si>
    <t>BRAK ELEMENTÓW WCHODZĄCYCH W ZAKRES KONTROLI WEWNĘTRZNEJ - brak oceny prawidłowości i skuteczności stosowania środków ochrony indywidualnej i zbiorowej</t>
  </si>
  <si>
    <t>Dokumenty dot. kontroli sterylizacji i archiwizowania wyników (jeśli dotyczy)</t>
  </si>
  <si>
    <t>Brak możliwości powiązania procesu sterylizacji z pacjentem (brak wskaźnika chemicznego opisanego datą sterylizacji i wpiętego do dokumentacji pacjenta lub rejestru badań)</t>
  </si>
  <si>
    <t>Umowa w zakresie usługi sterylizacji (dot. sytuacji gdy sterylizacja odbywa się poza kontrolowanym podmiotem leczniczym)</t>
  </si>
  <si>
    <t>Brak stosownej umowy w zakresie sterylizacji/firma nie spełnia wymogu posiadania systemu zarządzania jakością ISO lub GMP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</si>
  <si>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</si>
  <si>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</si>
  <si>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Zgdoność oferowanych świadczeń zdrowotnych z wydaną decyzją sanitarną</t>
  </si>
  <si>
    <t>Oferowane świadczenia zdrowotne niezgodne z wydaną decyzją PPIS (dot. zakresu lub lokalizacji)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</si>
  <si>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</si>
  <si>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</si>
  <si>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</si>
  <si>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</si>
  <si>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</si>
  <si>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Tabela 12. Kontrola przestrzegania zakazu palenia</t>
  </si>
  <si>
    <t>Pomieszczenia podmiotu leczniczego</t>
  </si>
  <si>
    <t>Palenie tytoniu na terenie podmiotu</t>
  </si>
  <si>
    <t>Mandat karny wystawiony na osobę palącą</t>
  </si>
  <si>
    <t>Brak oznakowania informacyjnego o zakazie palenia</t>
  </si>
  <si>
    <t>Kara grzywny, decyzja merytoryczna + decyzja płatnicza</t>
  </si>
  <si>
    <t>Tak</t>
  </si>
  <si>
    <t>Nie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</si>
  <si>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</si>
  <si>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</si>
  <si>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</si>
  <si>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</si>
  <si>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</si>
  <si>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</si>
  <si>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</si>
  <si>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</si>
  <si>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 xml:space="preserve">z1. Podmiot posiada program dostosowawczy w danym zakresie.  2. Nierpawidłowość ujęta w decyzji    3. Nieprawidłowości usunięto w trakcie kontroli.     4. Inne       1. Odstąpienie od wszczęcia postępowania.    2. Odstąpienie od wszczęcia postępowania.    3. Decyzja płatnicza     4. Zalecenie pokontrolne + decyzja płatnicza        
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</si>
  <si>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</si>
  <si>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</si>
  <si>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</si>
  <si>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</si>
  <si>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</si>
  <si>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</si>
  <si>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</si>
  <si>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</si>
  <si>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</si>
  <si>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</si>
  <si>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</si>
  <si>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</si>
  <si>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</si>
  <si>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6"/>
        <color indexed="10"/>
        <rFont val="Arial"/>
        <family val="2"/>
      </rPr>
      <t>IZBA PRZYJĘĆ 
(Dotyczy w przypadku udzielania świadczeń zdrowotnych o charakterze chirurgicznym)</t>
    </r>
  </si>
  <si>
    <r>
      <t xml:space="preserve">ARKUSZ OCENY RYZYKA
</t>
    </r>
    <r>
      <rPr>
        <b/>
        <sz val="18"/>
        <color indexed="10"/>
        <rFont val="Arial"/>
        <family val="2"/>
      </rPr>
      <t>ZESPÓŁ POMIESZCZEŃ PIELĘGNACYJNYCH W ODDZIALE
(Dotyczy w przypadku udzielania świadczeń zdrowotnych o charakterze chirurgicznym)</t>
    </r>
  </si>
  <si>
    <r>
      <t xml:space="preserve">ARKUSZ OCENY RYZYKA
</t>
    </r>
    <r>
      <rPr>
        <b/>
        <sz val="18"/>
        <color indexed="10"/>
        <rFont val="Arial"/>
        <family val="2"/>
      </rPr>
      <t>CENTRALNA STERYLIZATORNIA* 
(W przypadku prowadzenia sterylizacji w szpitalu jednodniowym)
*Nie dotyczy gdy w szpitalu jednodniowym zapewniono centralną sterlizatornie</t>
    </r>
  </si>
  <si>
    <r>
      <t xml:space="preserve">ARKUSZ OCENY RYZYKA
</t>
    </r>
    <r>
      <rPr>
        <b/>
        <sz val="18"/>
        <color indexed="10"/>
        <rFont val="Arial"/>
        <family val="2"/>
      </rPr>
      <t>STERYLIZATORNIA* (wymagania dla ambulatorium)
(W przypadku prowadzenia sterylizacji w szpitalu jednodniowym)
*Nie dotyczy gdy w szpitalu jednodniowym zapewniono centralną sterlizatornie</t>
    </r>
    <r>
      <rPr>
        <b/>
        <sz val="12"/>
        <rFont val="Arial"/>
        <family val="2"/>
      </rPr>
      <t xml:space="preserve">
</t>
    </r>
  </si>
  <si>
    <r>
      <t xml:space="preserve">ARKUSZ OCENY RYZYKA
</t>
    </r>
    <r>
      <rPr>
        <b/>
        <sz val="18"/>
        <color indexed="10"/>
        <rFont val="Arial"/>
        <family val="2"/>
      </rPr>
      <t>POZOSTAŁE WYMAGANIA DLA SZPITALA JEDNODNIOWEGO</t>
    </r>
  </si>
  <si>
    <t>ustawy z dnia 14 marca 1985 r. o Państwowej Inspekcji Sanitarnej (tekst jednolity Dz.U. z 2017 poz. 1261 z późn. zm.);</t>
  </si>
  <si>
    <t>ustawy z dnia 14 czerwca 1960 r. Kodeks postępowania administracyjnego (tekst jednolity Dz.U. z 2017 poz. 1257 z późn. zm.);</t>
  </si>
  <si>
    <t>ustawy z dnia 5 grudnia 2008 r. o zapobieganiu oraz zwalczaniu zakażeń i chorób zakaźnych u ludzi (tekst jednolity Dz.U. z 2018 poz. 151);</t>
  </si>
  <si>
    <t>ustawy z dnia 9 listopada 1995 r. o ochronie zdrowia przed następstwami używania tytoniu i wyrobów tytoniowych (t.j. Dz.U. z 2018 r. poz. 1446);</t>
  </si>
  <si>
    <t>rozporządzenia Ministra Zdrowia z dnia 26 czerwca 2012 r. w sprawie szczegółowych wymagań, jakim powinny odpowiadać pomieszczenia i urządzenia podmiotu wykonującego działalność leczniczą (Dz.U. z 2012 r. poz. 739);</t>
  </si>
  <si>
    <t>rozporządzenia Ministra Zdrowia z dnia 5 października 2017 r. w sprawie szczegółowego sposobu postępowania z odpadami medycznymi (Dz.U. z 2017 r. poz. 1975);</t>
  </si>
  <si>
    <t>rozporządzenia Ministra Pracy i Polityki Socjalnej z dnia 26.09.1997r. w sprawie ogólnych przepisów bezpieczeństwa i higieny pracy (t.j. Dz. U. z 2003 r. nr 169, poz. 1650 z późn. zm.)</t>
  </si>
  <si>
    <t>ustawy z dnia 20 maja 1971 r. Kodeks wykroczeń (t.j. Dz. U. z 2018 r. poz. 618, 911);</t>
  </si>
  <si>
    <t>ustawy z dnia 24 sierpnia 2001 r. Kodeks postępowania w sprawach o wykroczenia (t.j. Dz. U. z 2018 r. poz. 475, 1039, 1467)</t>
  </si>
  <si>
    <t>rozporządzenia Ministra Zdrowia z dnia 3 listopada 2011r. w sprawie szpitalnego oddziału ratunkowego (tekst jednolity Dz.U. z 2018 poz. 979);</t>
  </si>
  <si>
    <t>rozporządzenia Ministra Zdrowia z dnia 27 maja 2010 r. w sprawie zakresu, sposobu i częstotliwości prowadzenia kontroli wewnętrznej w obszarze realizacji działań zapobiegających szerzeniu się zakażeń i chorób zakaźnych (Dz. U. z 2010 nr 100 poz. 646)</t>
  </si>
  <si>
    <t>rozporządzenia Ministra Zdrowia z dnia 6 czerwca 2013 r. w sprawie bezpieczeństwa i higieny pracy przy wykonywaniu prac związanych z narażeniem na zranienie ostrymi narzędziami używanymi przy udzielaniu świadczeń zdrowotnych (Dz. U z 2013 r. poz. 696)</t>
  </si>
  <si>
    <t>rozporządzenia Ministra Zdrowia z dnia 2 kwietnia 2012 r. w sprawie określenia wymagań, jakim powinny odpowiadać zakłady i urządzenia lecznictwa uzdrowiskowego  (Dz. U. z 2012 r. poz. 452 z późn. zm.)</t>
  </si>
  <si>
    <t>ustawy z dnia 14 grudnia 2012 r. o odpadach (tj. Dz. U. z 2018 r. poz. 992)</t>
  </si>
  <si>
    <r>
      <t xml:space="preserve">ARKUSZ OCENY RYZYKA
</t>
    </r>
    <r>
      <rPr>
        <b/>
        <sz val="12"/>
        <color indexed="10"/>
        <rFont val="Arial"/>
        <family val="2"/>
      </rPr>
      <t>BLOK OPERACYJNY
(Dotyczy w przypadku udzielania świadczeń zdrowotnych o charakterze chirurgicznym)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</si>
</sst>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/>
      <bottom style="double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double">
        <color indexed="63"/>
      </left>
      <right style="thin">
        <color indexed="63"/>
      </right>
      <top/>
      <bottom/>
    </border>
    <border>
      <left style="double">
        <color indexed="63"/>
      </left>
      <right style="thin">
        <color indexed="63"/>
      </right>
      <top/>
      <bottom style="double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21" xfId="51" applyFont="1" applyFill="1" applyBorder="1" applyAlignment="1">
      <alignment vertical="top" wrapText="1"/>
      <protection/>
    </xf>
    <xf numFmtId="0" fontId="40" fillId="0" borderId="0" xfId="52" applyFill="1" applyAlignment="1">
      <alignment wrapText="1"/>
      <protection/>
    </xf>
    <xf numFmtId="0" fontId="48" fillId="0" borderId="0" xfId="52" applyFont="1" applyBorder="1" applyAlignment="1">
      <alignment wrapText="1"/>
      <protection/>
    </xf>
    <xf numFmtId="0" fontId="40" fillId="0" borderId="0" xfId="52" applyBorder="1" applyAlignment="1">
      <alignment wrapText="1"/>
      <protection/>
    </xf>
    <xf numFmtId="0" fontId="48" fillId="0" borderId="0" xfId="52" applyFont="1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 applyFill="1" applyAlignment="1">
      <alignment wrapText="1"/>
      <protection/>
    </xf>
    <xf numFmtId="0" fontId="48" fillId="0" borderId="0" xfId="52" applyFont="1" applyBorder="1" applyAlignment="1">
      <alignment wrapText="1"/>
      <protection/>
    </xf>
    <xf numFmtId="0" fontId="40" fillId="0" borderId="0" xfId="52" applyBorder="1" applyAlignment="1">
      <alignment wrapText="1"/>
      <protection/>
    </xf>
    <xf numFmtId="0" fontId="48" fillId="0" borderId="0" xfId="52" applyFont="1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Fill="1" applyAlignment="1">
      <alignment wrapText="1"/>
      <protection/>
    </xf>
    <xf numFmtId="0" fontId="48" fillId="0" borderId="0" xfId="52" applyFont="1" applyBorder="1" applyAlignment="1">
      <alignment wrapText="1"/>
      <protection/>
    </xf>
    <xf numFmtId="0" fontId="40" fillId="0" borderId="0" xfId="52" applyBorder="1" applyAlignment="1">
      <alignment wrapText="1"/>
      <protection/>
    </xf>
    <xf numFmtId="0" fontId="48" fillId="0" borderId="0" xfId="52" applyFont="1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 applyFill="1" applyAlignment="1">
      <alignment wrapText="1"/>
      <protection/>
    </xf>
    <xf numFmtId="0" fontId="48" fillId="0" borderId="0" xfId="52" applyFont="1" applyBorder="1" applyAlignment="1">
      <alignment wrapText="1"/>
      <protection/>
    </xf>
    <xf numFmtId="0" fontId="40" fillId="0" borderId="0" xfId="52" applyBorder="1" applyAlignment="1">
      <alignment wrapText="1"/>
      <protection/>
    </xf>
    <xf numFmtId="0" fontId="48" fillId="0" borderId="0" xfId="52" applyFont="1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Fill="1" applyAlignment="1">
      <alignment wrapText="1"/>
      <protection/>
    </xf>
    <xf numFmtId="0" fontId="48" fillId="0" borderId="0" xfId="52" applyFont="1" applyBorder="1" applyAlignment="1">
      <alignment wrapText="1"/>
      <protection/>
    </xf>
    <xf numFmtId="0" fontId="40" fillId="0" borderId="0" xfId="52" applyBorder="1" applyAlignment="1">
      <alignment wrapText="1"/>
      <protection/>
    </xf>
    <xf numFmtId="0" fontId="48" fillId="0" borderId="0" xfId="52" applyFont="1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>
      <alignment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40" fillId="0" borderId="0" xfId="52" applyAlignment="1">
      <alignment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53">
      <alignment/>
      <protection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34" borderId="24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/>
      <protection/>
    </xf>
    <xf numFmtId="0" fontId="49" fillId="0" borderId="0" xfId="52" applyFont="1" applyFill="1" applyAlignment="1">
      <alignment wrapText="1"/>
      <protection/>
    </xf>
    <xf numFmtId="0" fontId="2" fillId="34" borderId="24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50" fillId="0" borderId="0" xfId="52" applyFont="1" applyBorder="1" applyAlignment="1">
      <alignment wrapText="1"/>
      <protection/>
    </xf>
    <xf numFmtId="0" fontId="49" fillId="0" borderId="0" xfId="52" applyFont="1" applyBorder="1" applyAlignment="1">
      <alignment wrapText="1"/>
      <protection/>
    </xf>
    <xf numFmtId="0" fontId="50" fillId="0" borderId="0" xfId="52" applyFont="1" applyAlignment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9" fillId="0" borderId="0" xfId="52" applyFont="1" applyAlignment="1">
      <alignment wrapText="1"/>
      <protection/>
    </xf>
    <xf numFmtId="0" fontId="49" fillId="0" borderId="0" xfId="52" applyFont="1">
      <alignment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zoomScale="75" zoomScaleNormal="75" zoomScalePageLayoutView="0" workbookViewId="0" topLeftCell="A1">
      <selection activeCell="A1" sqref="A1:K3"/>
    </sheetView>
  </sheetViews>
  <sheetFormatPr defaultColWidth="9.140625" defaultRowHeight="12.75"/>
  <cols>
    <col min="1" max="1" width="22.28125" style="20" customWidth="1"/>
    <col min="2" max="2" width="55.57421875" style="20" customWidth="1"/>
    <col min="3" max="3" width="3.28125" style="20" customWidth="1"/>
    <col min="4" max="4" width="23.57421875" style="20" customWidth="1"/>
    <col min="5" max="5" width="22.7109375" style="20" customWidth="1"/>
    <col min="6" max="6" width="95.7109375" style="20" bestFit="1" customWidth="1"/>
    <col min="7" max="7" width="17.140625" style="20" customWidth="1"/>
    <col min="8" max="8" width="18.28125" style="20" customWidth="1"/>
    <col min="9" max="9" width="18.00390625" style="20" customWidth="1"/>
    <col min="10" max="10" width="20.7109375" style="20" customWidth="1"/>
    <col min="11" max="11" width="21.7109375" style="20" customWidth="1"/>
    <col min="12" max="14" width="9.140625" style="20" customWidth="1"/>
    <col min="15" max="26" width="0" style="20" hidden="1" customWidth="1"/>
    <col min="27" max="16384" width="9.140625" style="20" customWidth="1"/>
  </cols>
  <sheetData>
    <row r="1" spans="1:16" ht="49.5" customHeight="1">
      <c r="A1" s="365" t="s">
        <v>359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P1" s="332" t="s">
        <v>316</v>
      </c>
    </row>
    <row r="2" spans="1:16" ht="49.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P2" s="332" t="s">
        <v>317</v>
      </c>
    </row>
    <row r="3" spans="1:16" ht="49.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P3" s="20" t="s">
        <v>287</v>
      </c>
    </row>
    <row r="4" spans="1:11" ht="12.75">
      <c r="A4" s="333" t="s">
        <v>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ht="64.5" thickBot="1">
      <c r="A5" s="335" t="s">
        <v>2</v>
      </c>
      <c r="B5" s="336" t="s">
        <v>3</v>
      </c>
      <c r="C5" s="337"/>
      <c r="D5" s="338" t="s">
        <v>4</v>
      </c>
      <c r="E5" s="338" t="s">
        <v>5</v>
      </c>
      <c r="F5" s="338" t="s">
        <v>6</v>
      </c>
      <c r="G5" s="338" t="s">
        <v>7</v>
      </c>
      <c r="H5" s="338" t="s">
        <v>8</v>
      </c>
      <c r="I5" s="338" t="s">
        <v>9</v>
      </c>
      <c r="J5" s="338" t="s">
        <v>10</v>
      </c>
      <c r="K5" s="339" t="s">
        <v>11</v>
      </c>
    </row>
    <row r="6" spans="1:25" ht="14.25" thickBot="1" thickTop="1">
      <c r="A6" s="340"/>
      <c r="B6" s="341"/>
      <c r="C6" s="342"/>
      <c r="D6" s="343">
        <v>1</v>
      </c>
      <c r="E6" s="343">
        <v>2</v>
      </c>
      <c r="F6" s="343">
        <v>3</v>
      </c>
      <c r="G6" s="343">
        <v>4</v>
      </c>
      <c r="H6" s="343">
        <v>5</v>
      </c>
      <c r="I6" s="343">
        <v>6</v>
      </c>
      <c r="J6" s="343">
        <v>7</v>
      </c>
      <c r="K6" s="344">
        <v>8</v>
      </c>
      <c r="P6" s="345">
        <v>1</v>
      </c>
      <c r="Q6" s="345">
        <v>2</v>
      </c>
      <c r="R6" s="345">
        <v>3</v>
      </c>
      <c r="S6" s="345">
        <v>4</v>
      </c>
      <c r="T6" s="346"/>
      <c r="U6" s="346"/>
      <c r="V6" s="345">
        <v>1</v>
      </c>
      <c r="W6" s="345">
        <v>2</v>
      </c>
      <c r="X6" s="345">
        <v>3</v>
      </c>
      <c r="Y6" s="347">
        <v>4</v>
      </c>
    </row>
    <row r="7" spans="1:25" ht="103.5" thickBot="1" thickTop="1">
      <c r="A7" s="348" t="s">
        <v>12</v>
      </c>
      <c r="B7" s="13" t="s">
        <v>13</v>
      </c>
      <c r="C7" s="349">
        <v>1</v>
      </c>
      <c r="D7" s="326"/>
      <c r="E7" s="13" t="s">
        <v>0</v>
      </c>
      <c r="F7" s="13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7" s="13" t="s">
        <v>15</v>
      </c>
      <c r="H7" s="326" t="s">
        <v>0</v>
      </c>
      <c r="I7" s="13"/>
      <c r="J7" s="13" t="s">
        <v>0</v>
      </c>
      <c r="K7" s="21">
        <f>IF(I7=P7,V7,IF(I7=Q7,W7,IF(I7=R7,X7,IF(I7=S7,Y7,IF(I7=" "," ",)))))</f>
        <v>0</v>
      </c>
      <c r="P7" s="350" t="s">
        <v>318</v>
      </c>
      <c r="Q7" s="350" t="s">
        <v>319</v>
      </c>
      <c r="R7" s="350" t="s">
        <v>320</v>
      </c>
      <c r="S7" s="350" t="s">
        <v>321</v>
      </c>
      <c r="T7" s="351"/>
      <c r="U7" s="351"/>
      <c r="V7" s="350" t="s">
        <v>322</v>
      </c>
      <c r="W7" s="350" t="s">
        <v>323</v>
      </c>
      <c r="X7" s="350" t="s">
        <v>324</v>
      </c>
      <c r="Y7" s="350" t="s">
        <v>325</v>
      </c>
    </row>
    <row r="8" spans="1:25" ht="103.5" thickBot="1" thickTop="1">
      <c r="A8" s="352" t="s">
        <v>0</v>
      </c>
      <c r="B8" s="1" t="s">
        <v>16</v>
      </c>
      <c r="C8" s="353">
        <v>2</v>
      </c>
      <c r="D8" s="13"/>
      <c r="E8" s="1" t="s">
        <v>0</v>
      </c>
      <c r="F8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8" s="1" t="s">
        <v>15</v>
      </c>
      <c r="H8" s="13" t="s">
        <v>0</v>
      </c>
      <c r="I8" s="13"/>
      <c r="J8" s="1" t="s">
        <v>0</v>
      </c>
      <c r="K8" s="21">
        <f aca="true" t="shared" si="0" ref="K8:K15">IF(I8=P8,V8,IF(I8=Q8,W8,IF(I8=R8,X8,IF(I8=S8,Y8,IF(I8=" "," ",)))))</f>
        <v>0</v>
      </c>
      <c r="P8" s="350" t="s">
        <v>318</v>
      </c>
      <c r="Q8" s="350" t="s">
        <v>319</v>
      </c>
      <c r="R8" s="350" t="s">
        <v>320</v>
      </c>
      <c r="S8" s="350" t="s">
        <v>321</v>
      </c>
      <c r="V8" s="350" t="s">
        <v>322</v>
      </c>
      <c r="W8" s="350" t="s">
        <v>323</v>
      </c>
      <c r="X8" s="350" t="s">
        <v>324</v>
      </c>
      <c r="Y8" s="350" t="s">
        <v>325</v>
      </c>
    </row>
    <row r="9" spans="1:25" ht="103.5" thickBot="1" thickTop="1">
      <c r="A9" s="352" t="s">
        <v>0</v>
      </c>
      <c r="B9" s="1" t="s">
        <v>17</v>
      </c>
      <c r="C9" s="353">
        <v>3</v>
      </c>
      <c r="D9" s="13"/>
      <c r="E9" s="1" t="s">
        <v>0</v>
      </c>
      <c r="F9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13" t="s">
        <v>0</v>
      </c>
      <c r="I9" s="13"/>
      <c r="J9" s="1" t="s">
        <v>0</v>
      </c>
      <c r="K9" s="21">
        <f>IF(I9=P9,V9,IF(I9=Q9,W9,IF(I9=R9,X9,IF(I9=S9,Y9,IF(I9=" "," ",)))))</f>
        <v>0</v>
      </c>
      <c r="P9" s="350" t="s">
        <v>318</v>
      </c>
      <c r="Q9" s="350" t="s">
        <v>319</v>
      </c>
      <c r="R9" s="350" t="s">
        <v>320</v>
      </c>
      <c r="S9" s="350" t="s">
        <v>321</v>
      </c>
      <c r="V9" s="350" t="s">
        <v>322</v>
      </c>
      <c r="W9" s="350" t="s">
        <v>323</v>
      </c>
      <c r="X9" s="350" t="s">
        <v>324</v>
      </c>
      <c r="Y9" s="350" t="s">
        <v>325</v>
      </c>
    </row>
    <row r="10" spans="1:25" ht="103.5" thickBot="1" thickTop="1">
      <c r="A10" s="352" t="s">
        <v>0</v>
      </c>
      <c r="B10" s="1" t="s">
        <v>18</v>
      </c>
      <c r="C10" s="353">
        <v>4</v>
      </c>
      <c r="D10" s="13"/>
      <c r="E10" s="1" t="s">
        <v>0</v>
      </c>
      <c r="F10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13" t="s">
        <v>0</v>
      </c>
      <c r="I10" s="13" t="s">
        <v>0</v>
      </c>
      <c r="J10" s="1" t="s">
        <v>0</v>
      </c>
      <c r="K10" s="21">
        <f t="shared" si="0"/>
        <v>0</v>
      </c>
      <c r="P10" s="350" t="s">
        <v>318</v>
      </c>
      <c r="Q10" s="350" t="s">
        <v>319</v>
      </c>
      <c r="R10" s="350" t="s">
        <v>320</v>
      </c>
      <c r="S10" s="350" t="s">
        <v>321</v>
      </c>
      <c r="V10" s="350" t="s">
        <v>322</v>
      </c>
      <c r="W10" s="350" t="s">
        <v>323</v>
      </c>
      <c r="X10" s="350" t="s">
        <v>324</v>
      </c>
      <c r="Y10" s="350" t="s">
        <v>325</v>
      </c>
    </row>
    <row r="11" spans="1:25" ht="103.5" thickBot="1" thickTop="1">
      <c r="A11" s="352" t="s">
        <v>0</v>
      </c>
      <c r="B11" s="1" t="s">
        <v>19</v>
      </c>
      <c r="C11" s="353">
        <v>5</v>
      </c>
      <c r="D11" s="13"/>
      <c r="E11" s="1" t="s">
        <v>0</v>
      </c>
      <c r="F11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13" t="s">
        <v>0</v>
      </c>
      <c r="I11" s="13" t="s">
        <v>0</v>
      </c>
      <c r="J11" s="1" t="s">
        <v>0</v>
      </c>
      <c r="K11" s="21">
        <f t="shared" si="0"/>
        <v>0</v>
      </c>
      <c r="P11" s="350" t="s">
        <v>318</v>
      </c>
      <c r="Q11" s="350" t="s">
        <v>319</v>
      </c>
      <c r="R11" s="350" t="s">
        <v>320</v>
      </c>
      <c r="S11" s="350" t="s">
        <v>321</v>
      </c>
      <c r="V11" s="350" t="s">
        <v>322</v>
      </c>
      <c r="W11" s="350" t="s">
        <v>323</v>
      </c>
      <c r="X11" s="350" t="s">
        <v>324</v>
      </c>
      <c r="Y11" s="350" t="s">
        <v>325</v>
      </c>
    </row>
    <row r="12" spans="1:25" ht="103.5" thickBot="1" thickTop="1">
      <c r="A12" s="352" t="s">
        <v>0</v>
      </c>
      <c r="B12" s="1" t="s">
        <v>20</v>
      </c>
      <c r="C12" s="353">
        <v>6</v>
      </c>
      <c r="D12" s="13"/>
      <c r="E12" s="1" t="s">
        <v>0</v>
      </c>
      <c r="F12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13" t="s">
        <v>0</v>
      </c>
      <c r="I12" s="13" t="s">
        <v>0</v>
      </c>
      <c r="J12" s="1" t="s">
        <v>0</v>
      </c>
      <c r="K12" s="21">
        <f t="shared" si="0"/>
        <v>0</v>
      </c>
      <c r="P12" s="350" t="s">
        <v>318</v>
      </c>
      <c r="Q12" s="350" t="s">
        <v>319</v>
      </c>
      <c r="R12" s="350" t="s">
        <v>320</v>
      </c>
      <c r="S12" s="350" t="s">
        <v>321</v>
      </c>
      <c r="V12" s="350" t="s">
        <v>322</v>
      </c>
      <c r="W12" s="350" t="s">
        <v>323</v>
      </c>
      <c r="X12" s="350" t="s">
        <v>324</v>
      </c>
      <c r="Y12" s="350" t="s">
        <v>325</v>
      </c>
    </row>
    <row r="13" spans="1:25" ht="103.5" thickBot="1" thickTop="1">
      <c r="A13" s="352" t="s">
        <v>21</v>
      </c>
      <c r="B13" s="1" t="s">
        <v>22</v>
      </c>
      <c r="C13" s="353">
        <v>7</v>
      </c>
      <c r="D13" s="13"/>
      <c r="E13" s="1" t="s">
        <v>0</v>
      </c>
      <c r="F13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3" s="1" t="s">
        <v>15</v>
      </c>
      <c r="H13" s="13" t="s">
        <v>0</v>
      </c>
      <c r="I13" s="13" t="s">
        <v>0</v>
      </c>
      <c r="J13" s="1" t="s">
        <v>0</v>
      </c>
      <c r="K13" s="21">
        <f t="shared" si="0"/>
        <v>0</v>
      </c>
      <c r="P13" s="350" t="s">
        <v>318</v>
      </c>
      <c r="Q13" s="350" t="s">
        <v>319</v>
      </c>
      <c r="R13" s="350" t="s">
        <v>320</v>
      </c>
      <c r="S13" s="350" t="s">
        <v>321</v>
      </c>
      <c r="V13" s="350" t="s">
        <v>322</v>
      </c>
      <c r="W13" s="350" t="s">
        <v>323</v>
      </c>
      <c r="X13" s="350" t="s">
        <v>324</v>
      </c>
      <c r="Y13" s="350" t="s">
        <v>325</v>
      </c>
    </row>
    <row r="14" spans="1:25" ht="103.5" thickBot="1" thickTop="1">
      <c r="A14" s="352" t="s">
        <v>0</v>
      </c>
      <c r="B14" s="1" t="s">
        <v>23</v>
      </c>
      <c r="C14" s="353">
        <v>8</v>
      </c>
      <c r="D14" s="13"/>
      <c r="E14" s="1" t="s">
        <v>0</v>
      </c>
      <c r="F14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4" s="1" t="s">
        <v>15</v>
      </c>
      <c r="H14" s="13" t="s">
        <v>0</v>
      </c>
      <c r="I14" s="13" t="s">
        <v>0</v>
      </c>
      <c r="J14" s="1" t="s">
        <v>0</v>
      </c>
      <c r="K14" s="21">
        <f t="shared" si="0"/>
        <v>0</v>
      </c>
      <c r="P14" s="350" t="s">
        <v>318</v>
      </c>
      <c r="Q14" s="350" t="s">
        <v>319</v>
      </c>
      <c r="R14" s="350" t="s">
        <v>320</v>
      </c>
      <c r="S14" s="350" t="s">
        <v>321</v>
      </c>
      <c r="V14" s="350" t="s">
        <v>322</v>
      </c>
      <c r="W14" s="350" t="s">
        <v>323</v>
      </c>
      <c r="X14" s="350" t="s">
        <v>324</v>
      </c>
      <c r="Y14" s="350" t="s">
        <v>325</v>
      </c>
    </row>
    <row r="15" spans="1:25" ht="103.5" thickBot="1" thickTop="1">
      <c r="A15" s="354" t="s">
        <v>0</v>
      </c>
      <c r="B15" s="8" t="s">
        <v>24</v>
      </c>
      <c r="C15" s="355">
        <v>9</v>
      </c>
      <c r="D15" s="13"/>
      <c r="E15" s="8" t="s">
        <v>0</v>
      </c>
      <c r="F15" s="8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5" s="8" t="s">
        <v>15</v>
      </c>
      <c r="H15" s="13" t="s">
        <v>0</v>
      </c>
      <c r="I15" s="13" t="s">
        <v>0</v>
      </c>
      <c r="J15" s="8" t="s">
        <v>0</v>
      </c>
      <c r="K15" s="21">
        <f t="shared" si="0"/>
        <v>0</v>
      </c>
      <c r="P15" s="350" t="s">
        <v>318</v>
      </c>
      <c r="Q15" s="350" t="s">
        <v>319</v>
      </c>
      <c r="R15" s="350" t="s">
        <v>320</v>
      </c>
      <c r="S15" s="350" t="s">
        <v>321</v>
      </c>
      <c r="V15" s="350" t="s">
        <v>322</v>
      </c>
      <c r="W15" s="350" t="s">
        <v>323</v>
      </c>
      <c r="X15" s="350" t="s">
        <v>324</v>
      </c>
      <c r="Y15" s="350" t="s">
        <v>325</v>
      </c>
    </row>
    <row r="16" spans="1:11" ht="13.5" thickTop="1">
      <c r="A16" s="356" t="s">
        <v>25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</row>
    <row r="18" spans="1:11" ht="12.75">
      <c r="A18" s="333" t="s">
        <v>26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</row>
    <row r="19" spans="1:11" ht="51.75" thickBot="1">
      <c r="A19" s="335" t="s">
        <v>2</v>
      </c>
      <c r="B19" s="336" t="s">
        <v>3</v>
      </c>
      <c r="C19" s="337"/>
      <c r="D19" s="338" t="s">
        <v>4</v>
      </c>
      <c r="E19" s="338" t="s">
        <v>5</v>
      </c>
      <c r="F19" s="338" t="s">
        <v>6</v>
      </c>
      <c r="G19" s="338" t="s">
        <v>7</v>
      </c>
      <c r="H19" s="338" t="s">
        <v>27</v>
      </c>
      <c r="I19" s="338" t="s">
        <v>9</v>
      </c>
      <c r="J19" s="338" t="s">
        <v>10</v>
      </c>
      <c r="K19" s="339" t="s">
        <v>11</v>
      </c>
    </row>
    <row r="20" spans="1:11" ht="14.25" thickBot="1" thickTop="1">
      <c r="A20" s="340"/>
      <c r="B20" s="341"/>
      <c r="C20" s="342"/>
      <c r="D20" s="343">
        <v>1</v>
      </c>
      <c r="E20" s="343">
        <v>2</v>
      </c>
      <c r="F20" s="343">
        <v>3</v>
      </c>
      <c r="G20" s="343">
        <v>4</v>
      </c>
      <c r="H20" s="343">
        <v>5</v>
      </c>
      <c r="I20" s="343">
        <v>6</v>
      </c>
      <c r="J20" s="343">
        <v>7</v>
      </c>
      <c r="K20" s="344">
        <v>8</v>
      </c>
    </row>
    <row r="21" spans="1:25" ht="103.5" thickBot="1" thickTop="1">
      <c r="A21" s="358" t="s">
        <v>28</v>
      </c>
      <c r="B21" s="19" t="s">
        <v>29</v>
      </c>
      <c r="C21" s="359">
        <v>1</v>
      </c>
      <c r="D21" s="13"/>
      <c r="E21" s="19" t="s">
        <v>0</v>
      </c>
      <c r="F21" s="19" t="str">
        <f>"załącznik nr 1 IX ust. 1 pkt 1, załącznik nr 3 ust. 2 "&amp;prawo!B5</f>
        <v>załącznik nr 1 IX ust. 1 pkt 1, załącznik nr 3 ust. 2 rozporządzenia Ministra Zdrowia z dnia 26 czerwca 2012 r. w sprawie szczegółowych wymagań, jakim powinny odpowiadać pomieszczenia i urządzenia podmiotu wykonującego działalność leczniczą (Dz.U. z 2012 r. poz. 739);</v>
      </c>
      <c r="G21" s="19" t="s">
        <v>15</v>
      </c>
      <c r="H21" s="13" t="s">
        <v>0</v>
      </c>
      <c r="I21" s="19" t="s">
        <v>0</v>
      </c>
      <c r="J21" s="19" t="s">
        <v>0</v>
      </c>
      <c r="K21" s="21">
        <f>IF(I21=P21,V21,IF(I21=Q21,W21,IF(I21=R21,X21,IF(I21=S21,Y21,IF(I21=" "," ",)))))</f>
        <v>0</v>
      </c>
      <c r="P21" s="350" t="s">
        <v>318</v>
      </c>
      <c r="Q21" s="350" t="s">
        <v>319</v>
      </c>
      <c r="R21" s="350" t="s">
        <v>320</v>
      </c>
      <c r="S21" s="350" t="s">
        <v>321</v>
      </c>
      <c r="V21" s="350" t="s">
        <v>322</v>
      </c>
      <c r="W21" s="350" t="s">
        <v>323</v>
      </c>
      <c r="X21" s="350" t="s">
        <v>324</v>
      </c>
      <c r="Y21" s="350" t="s">
        <v>325</v>
      </c>
    </row>
    <row r="22" ht="13.5" thickTop="1"/>
    <row r="23" spans="1:11" ht="12.75">
      <c r="A23" s="333" t="s">
        <v>30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</row>
    <row r="24" spans="1:11" ht="51.75" thickBot="1">
      <c r="A24" s="335" t="s">
        <v>2</v>
      </c>
      <c r="B24" s="336" t="s">
        <v>3</v>
      </c>
      <c r="C24" s="337"/>
      <c r="D24" s="338" t="s">
        <v>4</v>
      </c>
      <c r="E24" s="338" t="s">
        <v>5</v>
      </c>
      <c r="F24" s="338" t="s">
        <v>6</v>
      </c>
      <c r="G24" s="338" t="s">
        <v>7</v>
      </c>
      <c r="H24" s="338" t="s">
        <v>27</v>
      </c>
      <c r="I24" s="338" t="s">
        <v>9</v>
      </c>
      <c r="J24" s="338" t="s">
        <v>10</v>
      </c>
      <c r="K24" s="339" t="s">
        <v>11</v>
      </c>
    </row>
    <row r="25" spans="1:11" ht="14.25" thickBot="1" thickTop="1">
      <c r="A25" s="340"/>
      <c r="B25" s="341"/>
      <c r="C25" s="342"/>
      <c r="D25" s="343">
        <v>1</v>
      </c>
      <c r="E25" s="343">
        <v>2</v>
      </c>
      <c r="F25" s="343">
        <v>3</v>
      </c>
      <c r="G25" s="343">
        <v>4</v>
      </c>
      <c r="H25" s="343">
        <v>5</v>
      </c>
      <c r="I25" s="343">
        <v>6</v>
      </c>
      <c r="J25" s="343">
        <v>7</v>
      </c>
      <c r="K25" s="344">
        <v>8</v>
      </c>
    </row>
    <row r="26" spans="1:25" ht="103.5" thickBot="1" thickTop="1">
      <c r="A26" s="358" t="s">
        <v>31</v>
      </c>
      <c r="B26" s="19" t="s">
        <v>32</v>
      </c>
      <c r="C26" s="359">
        <v>1</v>
      </c>
      <c r="D26" s="13"/>
      <c r="E26" s="19" t="s">
        <v>0</v>
      </c>
      <c r="F26" s="19" t="str">
        <f>"załącznik nr 1 IX ust. 1 pkt 2, załącznik nr 3 ust. 2  "&amp;prawo!B5</f>
        <v>załącznik nr 1 IX ust. 1 pkt 2, załącznik nr 3 ust. 2  rozporządzenia Ministra Zdrowia z dnia 26 czerwca 2012 r. w sprawie szczegółowych wymagań, jakim powinny odpowiadać pomieszczenia i urządzenia podmiotu wykonującego działalność leczniczą (Dz.U. z 2012 r. poz. 739);</v>
      </c>
      <c r="G26" s="19" t="s">
        <v>15</v>
      </c>
      <c r="H26" s="13" t="s">
        <v>0</v>
      </c>
      <c r="I26" s="19" t="s">
        <v>0</v>
      </c>
      <c r="J26" s="19" t="s">
        <v>0</v>
      </c>
      <c r="K26" s="21">
        <f>IF(I26=P26,V26,IF(I26=Q26,W26,IF(I26=R26,X26,IF(I26=S26,Y26,IF(I26=" "," ",)))))</f>
        <v>0</v>
      </c>
      <c r="P26" s="350" t="s">
        <v>318</v>
      </c>
      <c r="Q26" s="350" t="s">
        <v>319</v>
      </c>
      <c r="R26" s="350" t="s">
        <v>320</v>
      </c>
      <c r="S26" s="350" t="s">
        <v>321</v>
      </c>
      <c r="V26" s="350" t="s">
        <v>322</v>
      </c>
      <c r="W26" s="350" t="s">
        <v>323</v>
      </c>
      <c r="X26" s="350" t="s">
        <v>324</v>
      </c>
      <c r="Y26" s="350" t="s">
        <v>325</v>
      </c>
    </row>
    <row r="27" ht="13.5" thickTop="1"/>
    <row r="28" spans="1:11" ht="12.75">
      <c r="A28" s="333" t="s">
        <v>33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</row>
    <row r="29" spans="1:11" ht="64.5" thickBot="1">
      <c r="A29" s="335" t="s">
        <v>2</v>
      </c>
      <c r="B29" s="336" t="s">
        <v>3</v>
      </c>
      <c r="C29" s="337"/>
      <c r="D29" s="338" t="s">
        <v>4</v>
      </c>
      <c r="E29" s="338" t="s">
        <v>5</v>
      </c>
      <c r="F29" s="338" t="s">
        <v>6</v>
      </c>
      <c r="G29" s="338" t="s">
        <v>7</v>
      </c>
      <c r="H29" s="338" t="s">
        <v>8</v>
      </c>
      <c r="I29" s="338" t="s">
        <v>9</v>
      </c>
      <c r="J29" s="338" t="s">
        <v>10</v>
      </c>
      <c r="K29" s="339" t="s">
        <v>11</v>
      </c>
    </row>
    <row r="30" spans="1:11" ht="14.25" thickBot="1" thickTop="1">
      <c r="A30" s="340"/>
      <c r="B30" s="341"/>
      <c r="C30" s="342"/>
      <c r="D30" s="343">
        <v>1</v>
      </c>
      <c r="E30" s="343">
        <v>2</v>
      </c>
      <c r="F30" s="343">
        <v>3</v>
      </c>
      <c r="G30" s="343">
        <v>4</v>
      </c>
      <c r="H30" s="343">
        <v>5</v>
      </c>
      <c r="I30" s="343">
        <v>6</v>
      </c>
      <c r="J30" s="343">
        <v>7</v>
      </c>
      <c r="K30" s="344">
        <v>8</v>
      </c>
    </row>
    <row r="31" spans="1:25" ht="103.5" thickBot="1" thickTop="1">
      <c r="A31" s="348" t="s">
        <v>34</v>
      </c>
      <c r="B31" s="13" t="s">
        <v>35</v>
      </c>
      <c r="C31" s="349">
        <v>1</v>
      </c>
      <c r="D31" s="13"/>
      <c r="E31" s="13" t="s">
        <v>0</v>
      </c>
      <c r="F31" s="13" t="str">
        <f>"załącznik nr 1 IX ust. 1 pkt 3, załącznik nr 3 ust. 2  "&amp;prawo!B5</f>
        <v>załącznik nr 1 IX ust. 1 pkt 3, załącznik nr 3 ust. 2  rozporządzenia Ministra Zdrowia z dnia 26 czerwca 2012 r. w sprawie szczegółowych wymagań, jakim powinny odpowiadać pomieszczenia i urządzenia podmiotu wykonującego działalność leczniczą (Dz.U. z 2012 r. poz. 739);</v>
      </c>
      <c r="G31" s="13" t="s">
        <v>15</v>
      </c>
      <c r="H31" s="13" t="s">
        <v>0</v>
      </c>
      <c r="I31" s="13" t="s">
        <v>0</v>
      </c>
      <c r="J31" s="13" t="s">
        <v>0</v>
      </c>
      <c r="K31" s="21">
        <f aca="true" t="shared" si="1" ref="K31:K44">IF(I31=P31,V31,IF(I31=Q31,W31,IF(I31=R31,X31,IF(I31=S31,Y31,IF(I31=" "," ",)))))</f>
        <v>0</v>
      </c>
      <c r="P31" s="350" t="s">
        <v>318</v>
      </c>
      <c r="Q31" s="350" t="s">
        <v>319</v>
      </c>
      <c r="R31" s="350" t="s">
        <v>320</v>
      </c>
      <c r="S31" s="350" t="s">
        <v>321</v>
      </c>
      <c r="V31" s="350" t="s">
        <v>322</v>
      </c>
      <c r="W31" s="350" t="s">
        <v>323</v>
      </c>
      <c r="X31" s="350" t="s">
        <v>324</v>
      </c>
      <c r="Y31" s="350" t="s">
        <v>325</v>
      </c>
    </row>
    <row r="32" spans="1:25" ht="103.5" thickBot="1" thickTop="1">
      <c r="A32" s="360" t="s">
        <v>36</v>
      </c>
      <c r="B32" s="1" t="s">
        <v>37</v>
      </c>
      <c r="C32" s="353">
        <v>2</v>
      </c>
      <c r="D32" s="13"/>
      <c r="E32" s="1" t="s">
        <v>0</v>
      </c>
      <c r="F32" s="1" t="str">
        <f>"§23 pkt 1 "&amp;prawo!B5</f>
        <v>§23 pkt 1 rozporządzenia Ministra Zdrowia z dnia 26 czerwca 2012 r. w sprawie szczegółowych wymagań, jakim powinny odpowiadać pomieszczenia i urządzenia podmiotu wykonującego działalność leczniczą (Dz.U. z 2012 r. poz. 739);</v>
      </c>
      <c r="G32" s="1" t="s">
        <v>15</v>
      </c>
      <c r="H32" s="13" t="s">
        <v>0</v>
      </c>
      <c r="I32" s="13" t="s">
        <v>0</v>
      </c>
      <c r="J32" s="1" t="s">
        <v>0</v>
      </c>
      <c r="K32" s="21">
        <f t="shared" si="1"/>
        <v>0</v>
      </c>
      <c r="P32" s="350" t="s">
        <v>318</v>
      </c>
      <c r="Q32" s="350" t="s">
        <v>319</v>
      </c>
      <c r="R32" s="350" t="s">
        <v>320</v>
      </c>
      <c r="S32" s="350" t="s">
        <v>321</v>
      </c>
      <c r="V32" s="350" t="s">
        <v>322</v>
      </c>
      <c r="W32" s="350" t="s">
        <v>323</v>
      </c>
      <c r="X32" s="350" t="s">
        <v>324</v>
      </c>
      <c r="Y32" s="350" t="s">
        <v>325</v>
      </c>
    </row>
    <row r="33" spans="1:25" ht="103.5" thickBot="1" thickTop="1">
      <c r="A33" s="361"/>
      <c r="B33" s="1" t="s">
        <v>38</v>
      </c>
      <c r="C33" s="353">
        <v>3</v>
      </c>
      <c r="D33" s="13"/>
      <c r="E33" s="1" t="s">
        <v>0</v>
      </c>
      <c r="F33" s="1" t="str">
        <f>"§23 pkt 1 "&amp;prawo!B5</f>
        <v>§23 pkt 1 rozporządzenia Ministra Zdrowia z dnia 26 czerwca 2012 r. w sprawie szczegółowych wymagań, jakim powinny odpowiadać pomieszczenia i urządzenia podmiotu wykonującego działalność leczniczą (Dz.U. z 2012 r. poz. 739);</v>
      </c>
      <c r="G33" s="1" t="s">
        <v>15</v>
      </c>
      <c r="H33" s="13" t="s">
        <v>0</v>
      </c>
      <c r="I33" s="13" t="s">
        <v>0</v>
      </c>
      <c r="J33" s="1" t="s">
        <v>0</v>
      </c>
      <c r="K33" s="21">
        <f t="shared" si="1"/>
        <v>0</v>
      </c>
      <c r="P33" s="350" t="s">
        <v>318</v>
      </c>
      <c r="Q33" s="350" t="s">
        <v>319</v>
      </c>
      <c r="R33" s="350" t="s">
        <v>320</v>
      </c>
      <c r="S33" s="350" t="s">
        <v>321</v>
      </c>
      <c r="V33" s="350" t="s">
        <v>322</v>
      </c>
      <c r="W33" s="350" t="s">
        <v>323</v>
      </c>
      <c r="X33" s="350" t="s">
        <v>324</v>
      </c>
      <c r="Y33" s="350" t="s">
        <v>325</v>
      </c>
    </row>
    <row r="34" spans="1:25" ht="103.5" thickBot="1" thickTop="1">
      <c r="A34" s="360" t="s">
        <v>39</v>
      </c>
      <c r="B34" s="1" t="s">
        <v>40</v>
      </c>
      <c r="C34" s="353">
        <v>4</v>
      </c>
      <c r="D34" s="13"/>
      <c r="E34" s="1" t="s">
        <v>0</v>
      </c>
      <c r="F34" s="1" t="str">
        <f>"§23 pkt 2 "&amp;prawo!B5</f>
        <v>§23 pkt 2 rozporządzenia Ministra Zdrowia z dnia 26 czerwca 2012 r. w sprawie szczegółowych wymagań, jakim powinny odpowiadać pomieszczenia i urządzenia podmiotu wykonującego działalność leczniczą (Dz.U. z 2012 r. poz. 739);</v>
      </c>
      <c r="G34" s="1" t="s">
        <v>15</v>
      </c>
      <c r="H34" s="13" t="s">
        <v>0</v>
      </c>
      <c r="I34" s="13" t="s">
        <v>0</v>
      </c>
      <c r="J34" s="1" t="s">
        <v>0</v>
      </c>
      <c r="K34" s="21">
        <f t="shared" si="1"/>
        <v>0</v>
      </c>
      <c r="P34" s="350" t="s">
        <v>318</v>
      </c>
      <c r="Q34" s="350" t="s">
        <v>319</v>
      </c>
      <c r="R34" s="350" t="s">
        <v>320</v>
      </c>
      <c r="S34" s="350" t="s">
        <v>321</v>
      </c>
      <c r="V34" s="350" t="s">
        <v>322</v>
      </c>
      <c r="W34" s="350" t="s">
        <v>323</v>
      </c>
      <c r="X34" s="350" t="s">
        <v>324</v>
      </c>
      <c r="Y34" s="350" t="s">
        <v>325</v>
      </c>
    </row>
    <row r="35" spans="1:25" ht="103.5" thickBot="1" thickTop="1">
      <c r="A35" s="362"/>
      <c r="B35" s="1" t="s">
        <v>41</v>
      </c>
      <c r="C35" s="353">
        <v>5</v>
      </c>
      <c r="D35" s="13"/>
      <c r="E35" s="1" t="s">
        <v>0</v>
      </c>
      <c r="F35" s="1" t="str">
        <f>"§23 pkt 2a "&amp;prawo!B5</f>
        <v>§23 pkt 2a rozporządzenia Ministra Zdrowia z dnia 26 czerwca 2012 r. w sprawie szczegółowych wymagań, jakim powinny odpowiadać pomieszczenia i urządzenia podmiotu wykonującego działalność leczniczą (Dz.U. z 2012 r. poz. 739);</v>
      </c>
      <c r="G35" s="1" t="s">
        <v>15</v>
      </c>
      <c r="H35" s="13" t="s">
        <v>0</v>
      </c>
      <c r="I35" s="13" t="s">
        <v>0</v>
      </c>
      <c r="J35" s="1" t="s">
        <v>0</v>
      </c>
      <c r="K35" s="21">
        <f t="shared" si="1"/>
        <v>0</v>
      </c>
      <c r="P35" s="350" t="s">
        <v>318</v>
      </c>
      <c r="Q35" s="350" t="s">
        <v>319</v>
      </c>
      <c r="R35" s="350" t="s">
        <v>320</v>
      </c>
      <c r="S35" s="350" t="s">
        <v>321</v>
      </c>
      <c r="V35" s="350" t="s">
        <v>322</v>
      </c>
      <c r="W35" s="350" t="s">
        <v>323</v>
      </c>
      <c r="X35" s="350" t="s">
        <v>324</v>
      </c>
      <c r="Y35" s="350" t="s">
        <v>325</v>
      </c>
    </row>
    <row r="36" spans="1:25" ht="103.5" thickBot="1" thickTop="1">
      <c r="A36" s="362"/>
      <c r="B36" s="1" t="s">
        <v>42</v>
      </c>
      <c r="C36" s="353">
        <v>6</v>
      </c>
      <c r="D36" s="13"/>
      <c r="E36" s="1" t="s">
        <v>0</v>
      </c>
      <c r="F36" s="1" t="str">
        <f>"§23 pkt 2b "&amp;prawo!B5</f>
        <v>§23 pkt 2b rozporządzenia Ministra Zdrowia z dnia 26 czerwca 2012 r. w sprawie szczegółowych wymagań, jakim powinny odpowiadać pomieszczenia i urządzenia podmiotu wykonującego działalność leczniczą (Dz.U. z 2012 r. poz. 739);</v>
      </c>
      <c r="G36" s="1" t="s">
        <v>15</v>
      </c>
      <c r="H36" s="13" t="s">
        <v>0</v>
      </c>
      <c r="I36" s="13" t="s">
        <v>0</v>
      </c>
      <c r="J36" s="1" t="s">
        <v>0</v>
      </c>
      <c r="K36" s="21">
        <f t="shared" si="1"/>
        <v>0</v>
      </c>
      <c r="P36" s="350" t="s">
        <v>318</v>
      </c>
      <c r="Q36" s="350" t="s">
        <v>319</v>
      </c>
      <c r="R36" s="350" t="s">
        <v>320</v>
      </c>
      <c r="S36" s="350" t="s">
        <v>321</v>
      </c>
      <c r="V36" s="350" t="s">
        <v>322</v>
      </c>
      <c r="W36" s="350" t="s">
        <v>323</v>
      </c>
      <c r="X36" s="350" t="s">
        <v>324</v>
      </c>
      <c r="Y36" s="350" t="s">
        <v>325</v>
      </c>
    </row>
    <row r="37" spans="1:25" ht="103.5" thickBot="1" thickTop="1">
      <c r="A37" s="361"/>
      <c r="B37" s="1" t="s">
        <v>43</v>
      </c>
      <c r="C37" s="353">
        <v>7</v>
      </c>
      <c r="D37" s="13"/>
      <c r="E37" s="1" t="s">
        <v>0</v>
      </c>
      <c r="F37" s="1" t="str">
        <f>"§23 pkt 2c "&amp;prawo!B5</f>
        <v>§23 pkt 2c rozporządzenia Ministra Zdrowia z dnia 26 czerwca 2012 r. w sprawie szczegółowych wymagań, jakim powinny odpowiadać pomieszczenia i urządzenia podmiotu wykonującego działalność leczniczą (Dz.U. z 2012 r. poz. 739);</v>
      </c>
      <c r="G37" s="1" t="s">
        <v>15</v>
      </c>
      <c r="H37" s="13" t="s">
        <v>0</v>
      </c>
      <c r="I37" s="13" t="s">
        <v>0</v>
      </c>
      <c r="J37" s="1" t="s">
        <v>0</v>
      </c>
      <c r="K37" s="21">
        <f t="shared" si="1"/>
        <v>0</v>
      </c>
      <c r="P37" s="350" t="s">
        <v>318</v>
      </c>
      <c r="Q37" s="350" t="s">
        <v>319</v>
      </c>
      <c r="R37" s="350" t="s">
        <v>320</v>
      </c>
      <c r="S37" s="350" t="s">
        <v>321</v>
      </c>
      <c r="V37" s="350" t="s">
        <v>322</v>
      </c>
      <c r="W37" s="350" t="s">
        <v>323</v>
      </c>
      <c r="X37" s="350" t="s">
        <v>324</v>
      </c>
      <c r="Y37" s="350" t="s">
        <v>325</v>
      </c>
    </row>
    <row r="38" spans="1:25" ht="103.5" thickBot="1" thickTop="1">
      <c r="A38" s="352" t="s">
        <v>44</v>
      </c>
      <c r="B38" s="1" t="s">
        <v>45</v>
      </c>
      <c r="C38" s="353">
        <v>8</v>
      </c>
      <c r="D38" s="13"/>
      <c r="E38" s="1" t="s">
        <v>0</v>
      </c>
      <c r="F38" s="1" t="str">
        <f>"§23 pkt 3 "&amp;prawo!B5</f>
        <v>§23 pkt 3 rozporządzenia Ministra Zdrowia z dnia 26 czerwca 2012 r. w sprawie szczegółowych wymagań, jakim powinny odpowiadać pomieszczenia i urządzenia podmiotu wykonującego działalność leczniczą (Dz.U. z 2012 r. poz. 739);</v>
      </c>
      <c r="G38" s="1" t="s">
        <v>15</v>
      </c>
      <c r="H38" s="13" t="s">
        <v>0</v>
      </c>
      <c r="I38" s="13" t="s">
        <v>0</v>
      </c>
      <c r="J38" s="1" t="s">
        <v>0</v>
      </c>
      <c r="K38" s="21">
        <f t="shared" si="1"/>
        <v>0</v>
      </c>
      <c r="P38" s="350" t="s">
        <v>318</v>
      </c>
      <c r="Q38" s="350" t="s">
        <v>319</v>
      </c>
      <c r="R38" s="350" t="s">
        <v>320</v>
      </c>
      <c r="S38" s="350" t="s">
        <v>321</v>
      </c>
      <c r="V38" s="350" t="s">
        <v>322</v>
      </c>
      <c r="W38" s="350" t="s">
        <v>323</v>
      </c>
      <c r="X38" s="350" t="s">
        <v>324</v>
      </c>
      <c r="Y38" s="350" t="s">
        <v>325</v>
      </c>
    </row>
    <row r="39" spans="1:25" ht="103.5" thickBot="1" thickTop="1">
      <c r="A39" s="360" t="s">
        <v>46</v>
      </c>
      <c r="B39" s="1" t="s">
        <v>47</v>
      </c>
      <c r="C39" s="353">
        <v>9</v>
      </c>
      <c r="D39" s="13"/>
      <c r="E39" s="1" t="s">
        <v>0</v>
      </c>
      <c r="F39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39" s="1" t="s">
        <v>15</v>
      </c>
      <c r="H39" s="13" t="s">
        <v>0</v>
      </c>
      <c r="I39" s="13" t="s">
        <v>0</v>
      </c>
      <c r="J39" s="1" t="s">
        <v>0</v>
      </c>
      <c r="K39" s="21">
        <f t="shared" si="1"/>
        <v>0</v>
      </c>
      <c r="P39" s="350" t="s">
        <v>318</v>
      </c>
      <c r="Q39" s="350" t="s">
        <v>319</v>
      </c>
      <c r="R39" s="350" t="s">
        <v>320</v>
      </c>
      <c r="S39" s="350" t="s">
        <v>321</v>
      </c>
      <c r="V39" s="350" t="s">
        <v>322</v>
      </c>
      <c r="W39" s="350" t="s">
        <v>323</v>
      </c>
      <c r="X39" s="350" t="s">
        <v>324</v>
      </c>
      <c r="Y39" s="350" t="s">
        <v>325</v>
      </c>
    </row>
    <row r="40" spans="1:25" ht="103.5" thickBot="1" thickTop="1">
      <c r="A40" s="362"/>
      <c r="B40" s="1" t="s">
        <v>48</v>
      </c>
      <c r="C40" s="353">
        <v>10</v>
      </c>
      <c r="D40" s="13"/>
      <c r="E40" s="1" t="s">
        <v>0</v>
      </c>
      <c r="F40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40" s="1" t="s">
        <v>15</v>
      </c>
      <c r="H40" s="13" t="s">
        <v>0</v>
      </c>
      <c r="I40" s="13" t="s">
        <v>0</v>
      </c>
      <c r="J40" s="1" t="s">
        <v>0</v>
      </c>
      <c r="K40" s="21">
        <f t="shared" si="1"/>
        <v>0</v>
      </c>
      <c r="P40" s="350" t="s">
        <v>318</v>
      </c>
      <c r="Q40" s="350" t="s">
        <v>319</v>
      </c>
      <c r="R40" s="350" t="s">
        <v>320</v>
      </c>
      <c r="S40" s="350" t="s">
        <v>321</v>
      </c>
      <c r="V40" s="350" t="s">
        <v>322</v>
      </c>
      <c r="W40" s="350" t="s">
        <v>323</v>
      </c>
      <c r="X40" s="350" t="s">
        <v>324</v>
      </c>
      <c r="Y40" s="350" t="s">
        <v>325</v>
      </c>
    </row>
    <row r="41" spans="1:25" ht="103.5" thickBot="1" thickTop="1">
      <c r="A41" s="362"/>
      <c r="B41" s="1" t="s">
        <v>49</v>
      </c>
      <c r="C41" s="353">
        <v>11</v>
      </c>
      <c r="D41" s="13"/>
      <c r="E41" s="1" t="s">
        <v>0</v>
      </c>
      <c r="F41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41" s="1" t="s">
        <v>15</v>
      </c>
      <c r="H41" s="13" t="s">
        <v>0</v>
      </c>
      <c r="I41" s="13" t="s">
        <v>0</v>
      </c>
      <c r="J41" s="1" t="s">
        <v>0</v>
      </c>
      <c r="K41" s="21">
        <f t="shared" si="1"/>
        <v>0</v>
      </c>
      <c r="P41" s="350" t="s">
        <v>318</v>
      </c>
      <c r="Q41" s="350" t="s">
        <v>319</v>
      </c>
      <c r="R41" s="350" t="s">
        <v>320</v>
      </c>
      <c r="S41" s="350" t="s">
        <v>321</v>
      </c>
      <c r="V41" s="350" t="s">
        <v>322</v>
      </c>
      <c r="W41" s="350" t="s">
        <v>323</v>
      </c>
      <c r="X41" s="350" t="s">
        <v>324</v>
      </c>
      <c r="Y41" s="350" t="s">
        <v>325</v>
      </c>
    </row>
    <row r="42" spans="1:25" ht="409.5" thickBot="1" thickTop="1">
      <c r="A42" s="361"/>
      <c r="B42" s="1" t="s">
        <v>50</v>
      </c>
      <c r="C42" s="353">
        <v>12</v>
      </c>
      <c r="D42" s="13"/>
      <c r="E42" s="1" t="s">
        <v>0</v>
      </c>
      <c r="F42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42" s="1" t="s">
        <v>15</v>
      </c>
      <c r="H42" s="13" t="s">
        <v>0</v>
      </c>
      <c r="I42" s="1" t="s">
        <v>0</v>
      </c>
      <c r="J42" s="1" t="s">
        <v>0</v>
      </c>
      <c r="K42" s="21">
        <f t="shared" si="1"/>
        <v>0</v>
      </c>
      <c r="P42" s="350" t="s">
        <v>326</v>
      </c>
      <c r="Q42" s="350" t="s">
        <v>319</v>
      </c>
      <c r="R42" s="350" t="s">
        <v>320</v>
      </c>
      <c r="S42" s="350" t="s">
        <v>321</v>
      </c>
      <c r="V42" s="350" t="s">
        <v>322</v>
      </c>
      <c r="W42" s="350" t="s">
        <v>323</v>
      </c>
      <c r="X42" s="350" t="s">
        <v>324</v>
      </c>
      <c r="Y42" s="350" t="s">
        <v>325</v>
      </c>
    </row>
    <row r="43" spans="1:24" ht="90.75" thickBot="1" thickTop="1">
      <c r="A43" s="360" t="s">
        <v>51</v>
      </c>
      <c r="B43" s="1" t="s">
        <v>52</v>
      </c>
      <c r="C43" s="353">
        <v>13</v>
      </c>
      <c r="D43" s="13"/>
      <c r="E43" s="1" t="s">
        <v>0</v>
      </c>
      <c r="F43" s="1" t="str">
        <f>"załącznik nr 3 §2 ust. 2 "&amp;prawo!B7</f>
        <v>załącznik nr 3 §2 ust. 2 rozporządzenia Ministra Pracy i Polityki Socjalnej z dnia 26.09.1997r. w sprawie ogólnych przepisów bezpieczeństwa i higieny pracy (t.j. Dz. U. z 2003 r. nr 169, poz. 1650 z późn. zm.)</v>
      </c>
      <c r="G43" s="1" t="s">
        <v>15</v>
      </c>
      <c r="H43" s="13" t="s">
        <v>0</v>
      </c>
      <c r="I43" s="1" t="s">
        <v>0</v>
      </c>
      <c r="J43" s="1" t="s">
        <v>0</v>
      </c>
      <c r="K43" s="21">
        <f t="shared" si="1"/>
        <v>0</v>
      </c>
      <c r="P43" s="350" t="s">
        <v>327</v>
      </c>
      <c r="Q43" s="350" t="s">
        <v>328</v>
      </c>
      <c r="R43" s="350" t="s">
        <v>329</v>
      </c>
      <c r="V43" s="350" t="s">
        <v>330</v>
      </c>
      <c r="W43" s="350" t="s">
        <v>331</v>
      </c>
      <c r="X43" s="350" t="s">
        <v>332</v>
      </c>
    </row>
    <row r="44" spans="1:24" ht="90.75" thickBot="1" thickTop="1">
      <c r="A44" s="363"/>
      <c r="B44" s="8" t="s">
        <v>53</v>
      </c>
      <c r="C44" s="355">
        <v>14</v>
      </c>
      <c r="D44" s="13"/>
      <c r="E44" s="8" t="s">
        <v>0</v>
      </c>
      <c r="F44" s="8" t="str">
        <f>"załącznik nr 3 §2 ust. 1 "&amp;prawo!B7</f>
        <v>załącznik nr 3 §2 ust. 1 rozporządzenia Ministra Pracy i Polityki Socjalnej z dnia 26.09.1997r. w sprawie ogólnych przepisów bezpieczeństwa i higieny pracy (t.j. Dz. U. z 2003 r. nr 169, poz. 1650 z późn. zm.)</v>
      </c>
      <c r="G44" s="8" t="s">
        <v>15</v>
      </c>
      <c r="H44" s="13" t="s">
        <v>0</v>
      </c>
      <c r="I44" s="1" t="s">
        <v>0</v>
      </c>
      <c r="J44" s="8" t="s">
        <v>0</v>
      </c>
      <c r="K44" s="21">
        <f t="shared" si="1"/>
        <v>0</v>
      </c>
      <c r="P44" s="350" t="s">
        <v>327</v>
      </c>
      <c r="Q44" s="350" t="s">
        <v>328</v>
      </c>
      <c r="R44" s="350" t="s">
        <v>329</v>
      </c>
      <c r="V44" s="350" t="s">
        <v>330</v>
      </c>
      <c r="W44" s="350" t="s">
        <v>331</v>
      </c>
      <c r="X44" s="350" t="s">
        <v>332</v>
      </c>
    </row>
    <row r="45" ht="13.5" thickTop="1"/>
    <row r="46" spans="1:11" ht="12.75">
      <c r="A46" s="333" t="s">
        <v>54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</row>
    <row r="47" spans="1:11" ht="51.75" thickBot="1">
      <c r="A47" s="335" t="s">
        <v>2</v>
      </c>
      <c r="B47" s="336" t="s">
        <v>3</v>
      </c>
      <c r="C47" s="337"/>
      <c r="D47" s="338" t="s">
        <v>4</v>
      </c>
      <c r="E47" s="338" t="s">
        <v>5</v>
      </c>
      <c r="F47" s="338" t="s">
        <v>6</v>
      </c>
      <c r="G47" s="338" t="s">
        <v>7</v>
      </c>
      <c r="H47" s="338" t="s">
        <v>27</v>
      </c>
      <c r="I47" s="338" t="s">
        <v>9</v>
      </c>
      <c r="J47" s="338" t="s">
        <v>10</v>
      </c>
      <c r="K47" s="339" t="s">
        <v>11</v>
      </c>
    </row>
    <row r="48" spans="1:11" ht="14.25" thickBot="1" thickTop="1">
      <c r="A48" s="340"/>
      <c r="B48" s="341"/>
      <c r="C48" s="342"/>
      <c r="D48" s="343">
        <v>1</v>
      </c>
      <c r="E48" s="343">
        <v>2</v>
      </c>
      <c r="F48" s="343">
        <v>3</v>
      </c>
      <c r="G48" s="343">
        <v>4</v>
      </c>
      <c r="H48" s="343">
        <v>5</v>
      </c>
      <c r="I48" s="343">
        <v>6</v>
      </c>
      <c r="J48" s="343">
        <v>7</v>
      </c>
      <c r="K48" s="344">
        <v>8</v>
      </c>
    </row>
    <row r="49" spans="1:25" ht="103.5" thickBot="1" thickTop="1">
      <c r="A49" s="358" t="s">
        <v>55</v>
      </c>
      <c r="B49" s="19" t="s">
        <v>56</v>
      </c>
      <c r="C49" s="359">
        <v>1</v>
      </c>
      <c r="D49" s="13"/>
      <c r="E49" s="19" t="s">
        <v>0</v>
      </c>
      <c r="F49" s="19" t="str">
        <f>"załącznik nr 1 IX ust. 1 pkt 4, załącznik nr 3 ust. 2  "&amp;prawo!B5</f>
        <v>załącznik nr 1 IX ust. 1 pkt 4, załącznik nr 3 ust. 2  rozporządzenia Ministra Zdrowia z dnia 26 czerwca 2012 r. w sprawie szczegółowych wymagań, jakim powinny odpowiadać pomieszczenia i urządzenia podmiotu wykonującego działalność leczniczą (Dz.U. z 2012 r. poz. 739);</v>
      </c>
      <c r="G49" s="19" t="s">
        <v>15</v>
      </c>
      <c r="H49" s="13" t="s">
        <v>0</v>
      </c>
      <c r="I49" s="19" t="s">
        <v>0</v>
      </c>
      <c r="J49" s="19" t="s">
        <v>0</v>
      </c>
      <c r="K49" s="21">
        <f>IF(I49=P49,V49,IF(I49=Q49,W49,IF(I49=R49,X49,IF(I49=S49,Y49,IF(I49=" "," ",)))))</f>
        <v>0</v>
      </c>
      <c r="P49" s="350" t="s">
        <v>318</v>
      </c>
      <c r="Q49" s="350" t="s">
        <v>319</v>
      </c>
      <c r="R49" s="350" t="s">
        <v>320</v>
      </c>
      <c r="S49" s="350" t="s">
        <v>321</v>
      </c>
      <c r="V49" s="350" t="s">
        <v>322</v>
      </c>
      <c r="W49" s="350" t="s">
        <v>323</v>
      </c>
      <c r="X49" s="350" t="s">
        <v>324</v>
      </c>
      <c r="Y49" s="350" t="s">
        <v>325</v>
      </c>
    </row>
    <row r="50" ht="13.5" thickTop="1"/>
    <row r="51" spans="1:11" ht="12.75">
      <c r="A51" s="333" t="s">
        <v>57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</row>
    <row r="52" spans="1:11" ht="51.75" thickBot="1">
      <c r="A52" s="335" t="s">
        <v>2</v>
      </c>
      <c r="B52" s="336" t="s">
        <v>3</v>
      </c>
      <c r="C52" s="337"/>
      <c r="D52" s="338" t="s">
        <v>4</v>
      </c>
      <c r="E52" s="338" t="s">
        <v>5</v>
      </c>
      <c r="F52" s="338" t="s">
        <v>6</v>
      </c>
      <c r="G52" s="338" t="s">
        <v>7</v>
      </c>
      <c r="H52" s="338" t="s">
        <v>27</v>
      </c>
      <c r="I52" s="338" t="s">
        <v>9</v>
      </c>
      <c r="J52" s="338" t="s">
        <v>10</v>
      </c>
      <c r="K52" s="339" t="s">
        <v>11</v>
      </c>
    </row>
    <row r="53" spans="1:11" ht="14.25" thickBot="1" thickTop="1">
      <c r="A53" s="340"/>
      <c r="B53" s="341"/>
      <c r="C53" s="342"/>
      <c r="D53" s="343">
        <v>1</v>
      </c>
      <c r="E53" s="343">
        <v>2</v>
      </c>
      <c r="F53" s="343">
        <v>3</v>
      </c>
      <c r="G53" s="343">
        <v>4</v>
      </c>
      <c r="H53" s="343">
        <v>5</v>
      </c>
      <c r="I53" s="343">
        <v>6</v>
      </c>
      <c r="J53" s="343">
        <v>7</v>
      </c>
      <c r="K53" s="344">
        <v>8</v>
      </c>
    </row>
    <row r="54" spans="1:25" ht="103.5" thickBot="1" thickTop="1">
      <c r="A54" s="364" t="s">
        <v>58</v>
      </c>
      <c r="B54" s="13" t="s">
        <v>59</v>
      </c>
      <c r="C54" s="349">
        <v>1</v>
      </c>
      <c r="D54" s="13"/>
      <c r="E54" s="13" t="s">
        <v>0</v>
      </c>
      <c r="F54" s="13" t="str">
        <f>"załącznik nr 1 IX ust. 1 pkt 5,  załącznik nr 3 ust. 2 "&amp;prawo!B5</f>
        <v>załącznik nr 1 IX ust. 1 pkt 5,  załącznik nr 3 ust. 2 rozporządzenia Ministra Zdrowia z dnia 26 czerwca 2012 r. w sprawie szczegółowych wymagań, jakim powinny odpowiadać pomieszczenia i urządzenia podmiotu wykonującego działalność leczniczą (Dz.U. z 2012 r. poz. 739);</v>
      </c>
      <c r="G54" s="13" t="s">
        <v>15</v>
      </c>
      <c r="H54" s="13" t="s">
        <v>0</v>
      </c>
      <c r="I54" s="19" t="s">
        <v>0</v>
      </c>
      <c r="J54" s="13" t="s">
        <v>0</v>
      </c>
      <c r="K54" s="21">
        <f>IF(I54=P54,V54,IF(I54=Q54,W54,IF(I54=R54,X54,IF(I54=S54,Y54,IF(I54=" "," ",)))))</f>
        <v>0</v>
      </c>
      <c r="P54" s="350" t="s">
        <v>318</v>
      </c>
      <c r="Q54" s="350" t="s">
        <v>319</v>
      </c>
      <c r="R54" s="350" t="s">
        <v>320</v>
      </c>
      <c r="S54" s="350" t="s">
        <v>321</v>
      </c>
      <c r="V54" s="350" t="s">
        <v>322</v>
      </c>
      <c r="W54" s="350" t="s">
        <v>323</v>
      </c>
      <c r="X54" s="350" t="s">
        <v>324</v>
      </c>
      <c r="Y54" s="350" t="s">
        <v>325</v>
      </c>
    </row>
    <row r="55" spans="1:25" ht="103.5" thickBot="1" thickTop="1">
      <c r="A55" s="363"/>
      <c r="B55" s="8" t="s">
        <v>60</v>
      </c>
      <c r="C55" s="355">
        <v>2</v>
      </c>
      <c r="D55" s="13"/>
      <c r="E55" s="8" t="s">
        <v>0</v>
      </c>
      <c r="F55" s="8" t="str">
        <f>"załącznik nr 1 IX ust. 1 pkt 5, załącznik nr 3 ust. 2  "&amp;prawo!B5</f>
        <v>załącznik nr 1 IX ust. 1 pkt 5, załącznik nr 3 ust. 2  rozporządzenia Ministra Zdrowia z dnia 26 czerwca 2012 r. w sprawie szczegółowych wymagań, jakim powinny odpowiadać pomieszczenia i urządzenia podmiotu wykonującego działalność leczniczą (Dz.U. z 2012 r. poz. 739);</v>
      </c>
      <c r="G55" s="8" t="s">
        <v>15</v>
      </c>
      <c r="H55" s="13" t="s">
        <v>0</v>
      </c>
      <c r="I55" s="19" t="s">
        <v>0</v>
      </c>
      <c r="J55" s="8" t="s">
        <v>0</v>
      </c>
      <c r="K55" s="21">
        <f>IF(I55=P55,V55,IF(I55=Q55,W55,IF(I55=R55,X55,IF(I55=S55,Y55,IF(I55=" "," ",)))))</f>
        <v>0</v>
      </c>
      <c r="P55" s="350" t="s">
        <v>318</v>
      </c>
      <c r="Q55" s="350" t="s">
        <v>319</v>
      </c>
      <c r="R55" s="350" t="s">
        <v>320</v>
      </c>
      <c r="S55" s="350" t="s">
        <v>321</v>
      </c>
      <c r="V55" s="350" t="s">
        <v>322</v>
      </c>
      <c r="W55" s="350" t="s">
        <v>323</v>
      </c>
      <c r="X55" s="350" t="s">
        <v>324</v>
      </c>
      <c r="Y55" s="350" t="s">
        <v>325</v>
      </c>
    </row>
    <row r="56" ht="13.5" thickTop="1"/>
    <row r="57" spans="1:11" ht="12.75">
      <c r="A57" s="333" t="s">
        <v>61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</row>
    <row r="58" spans="1:11" ht="64.5" thickBot="1">
      <c r="A58" s="335" t="s">
        <v>2</v>
      </c>
      <c r="B58" s="336" t="s">
        <v>3</v>
      </c>
      <c r="C58" s="337"/>
      <c r="D58" s="338" t="s">
        <v>4</v>
      </c>
      <c r="E58" s="338" t="s">
        <v>5</v>
      </c>
      <c r="F58" s="338" t="s">
        <v>6</v>
      </c>
      <c r="G58" s="338" t="s">
        <v>7</v>
      </c>
      <c r="H58" s="338" t="s">
        <v>8</v>
      </c>
      <c r="I58" s="338" t="s">
        <v>9</v>
      </c>
      <c r="J58" s="338" t="s">
        <v>10</v>
      </c>
      <c r="K58" s="339" t="s">
        <v>11</v>
      </c>
    </row>
    <row r="59" spans="1:11" ht="14.25" thickBot="1" thickTop="1">
      <c r="A59" s="340"/>
      <c r="B59" s="341"/>
      <c r="C59" s="342"/>
      <c r="D59" s="343">
        <v>1</v>
      </c>
      <c r="E59" s="343">
        <v>2</v>
      </c>
      <c r="F59" s="343">
        <v>3</v>
      </c>
      <c r="G59" s="343">
        <v>4</v>
      </c>
      <c r="H59" s="343">
        <v>5</v>
      </c>
      <c r="I59" s="343">
        <v>6</v>
      </c>
      <c r="J59" s="343">
        <v>7</v>
      </c>
      <c r="K59" s="344">
        <v>8</v>
      </c>
    </row>
    <row r="60" spans="1:25" ht="103.5" thickBot="1" thickTop="1">
      <c r="A60" s="348" t="s">
        <v>62</v>
      </c>
      <c r="B60" s="13" t="s">
        <v>63</v>
      </c>
      <c r="C60" s="349">
        <v>1</v>
      </c>
      <c r="D60" s="13"/>
      <c r="E60" s="13" t="s">
        <v>0</v>
      </c>
      <c r="F60" s="13" t="str">
        <f>"załącznik nr 1 IX ust. 1 pkt 6, załącznik nr 3 ust. 2  "&amp;prawo!B5</f>
        <v>załącznik nr 1 IX ust. 1 pkt 6, załącznik nr 3 ust. 2  rozporządzenia Ministra Zdrowia z dnia 26 czerwca 2012 r. w sprawie szczegółowych wymagań, jakim powinny odpowiadać pomieszczenia i urządzenia podmiotu wykonującego działalność leczniczą (Dz.U. z 2012 r. poz. 739);</v>
      </c>
      <c r="G60" s="13" t="s">
        <v>15</v>
      </c>
      <c r="H60" s="13" t="s">
        <v>0</v>
      </c>
      <c r="I60" s="19" t="s">
        <v>0</v>
      </c>
      <c r="J60" s="13" t="s">
        <v>0</v>
      </c>
      <c r="K60" s="21">
        <f aca="true" t="shared" si="2" ref="K60:K65">IF(I60=P60,V60,IF(I60=Q60,W60,IF(I60=R60,X60,IF(I60=S60,Y60,IF(I60=" "," ",)))))</f>
        <v>0</v>
      </c>
      <c r="P60" s="350" t="s">
        <v>318</v>
      </c>
      <c r="Q60" s="350" t="s">
        <v>319</v>
      </c>
      <c r="R60" s="350" t="s">
        <v>320</v>
      </c>
      <c r="S60" s="350" t="s">
        <v>321</v>
      </c>
      <c r="V60" s="350" t="s">
        <v>322</v>
      </c>
      <c r="W60" s="350" t="s">
        <v>323</v>
      </c>
      <c r="X60" s="350" t="s">
        <v>324</v>
      </c>
      <c r="Y60" s="350" t="s">
        <v>325</v>
      </c>
    </row>
    <row r="61" spans="1:25" ht="103.5" thickBot="1" thickTop="1">
      <c r="A61" s="360" t="s">
        <v>64</v>
      </c>
      <c r="B61" s="1" t="s">
        <v>65</v>
      </c>
      <c r="C61" s="353">
        <v>2</v>
      </c>
      <c r="D61" s="13"/>
      <c r="E61" s="1" t="s">
        <v>0</v>
      </c>
      <c r="F61" s="1" t="str">
        <f>"§36 ust. 1 pkt 1 "&amp;prawo!B5</f>
        <v>§36 ust. 1 pkt 1 rozporządzenia Ministra Zdrowia z dnia 26 czerwca 2012 r. w sprawie szczegółowych wymagań, jakim powinny odpowiadać pomieszczenia i urządzenia podmiotu wykonującego działalność leczniczą (Dz.U. z 2012 r. poz. 739);</v>
      </c>
      <c r="G61" s="1" t="s">
        <v>15</v>
      </c>
      <c r="H61" s="13" t="s">
        <v>0</v>
      </c>
      <c r="I61" s="19" t="s">
        <v>0</v>
      </c>
      <c r="J61" s="1" t="s">
        <v>0</v>
      </c>
      <c r="K61" s="21">
        <f t="shared" si="2"/>
        <v>0</v>
      </c>
      <c r="P61" s="350" t="s">
        <v>318</v>
      </c>
      <c r="Q61" s="350" t="s">
        <v>319</v>
      </c>
      <c r="R61" s="350" t="s">
        <v>320</v>
      </c>
      <c r="S61" s="350" t="s">
        <v>321</v>
      </c>
      <c r="V61" s="350" t="s">
        <v>322</v>
      </c>
      <c r="W61" s="350" t="s">
        <v>323</v>
      </c>
      <c r="X61" s="350" t="s">
        <v>324</v>
      </c>
      <c r="Y61" s="350" t="s">
        <v>325</v>
      </c>
    </row>
    <row r="62" spans="1:25" ht="103.5" thickBot="1" thickTop="1">
      <c r="A62" s="362"/>
      <c r="B62" s="1" t="s">
        <v>66</v>
      </c>
      <c r="C62" s="353">
        <v>3</v>
      </c>
      <c r="D62" s="13"/>
      <c r="E62" s="1" t="s">
        <v>0</v>
      </c>
      <c r="F62" s="1" t="str">
        <f>"§36 ust. 1 pkt 2 "&amp;prawo!B5</f>
        <v>§36 ust. 1 pkt 2 rozporządzenia Ministra Zdrowia z dnia 26 czerwca 2012 r. w sprawie szczegółowych wymagań, jakim powinny odpowiadać pomieszczenia i urządzenia podmiotu wykonującego działalność leczniczą (Dz.U. z 2012 r. poz. 739);</v>
      </c>
      <c r="G62" s="1" t="s">
        <v>15</v>
      </c>
      <c r="H62" s="13" t="s">
        <v>0</v>
      </c>
      <c r="I62" s="19" t="s">
        <v>0</v>
      </c>
      <c r="J62" s="1" t="s">
        <v>0</v>
      </c>
      <c r="K62" s="21">
        <f t="shared" si="2"/>
        <v>0</v>
      </c>
      <c r="P62" s="350" t="s">
        <v>318</v>
      </c>
      <c r="Q62" s="350" t="s">
        <v>319</v>
      </c>
      <c r="R62" s="350" t="s">
        <v>320</v>
      </c>
      <c r="S62" s="350" t="s">
        <v>321</v>
      </c>
      <c r="V62" s="350" t="s">
        <v>322</v>
      </c>
      <c r="W62" s="350" t="s">
        <v>323</v>
      </c>
      <c r="X62" s="350" t="s">
        <v>324</v>
      </c>
      <c r="Y62" s="350" t="s">
        <v>325</v>
      </c>
    </row>
    <row r="63" spans="1:25" ht="103.5" thickBot="1" thickTop="1">
      <c r="A63" s="362"/>
      <c r="B63" s="1" t="s">
        <v>67</v>
      </c>
      <c r="C63" s="353">
        <v>4</v>
      </c>
      <c r="D63" s="13"/>
      <c r="E63" s="1" t="s">
        <v>0</v>
      </c>
      <c r="F63" s="1" t="str">
        <f>"§36 ust. 1 pkt 3 "&amp;prawo!B5</f>
        <v>§36 ust. 1 pkt 3 rozporządzenia Ministra Zdrowia z dnia 26 czerwca 2012 r. w sprawie szczegółowych wymagań, jakim powinny odpowiadać pomieszczenia i urządzenia podmiotu wykonującego działalność leczniczą (Dz.U. z 2012 r. poz. 739);</v>
      </c>
      <c r="G63" s="1" t="s">
        <v>15</v>
      </c>
      <c r="H63" s="13" t="s">
        <v>0</v>
      </c>
      <c r="I63" s="19" t="s">
        <v>0</v>
      </c>
      <c r="J63" s="1" t="s">
        <v>0</v>
      </c>
      <c r="K63" s="21">
        <f t="shared" si="2"/>
        <v>0</v>
      </c>
      <c r="P63" s="350" t="s">
        <v>318</v>
      </c>
      <c r="Q63" s="350" t="s">
        <v>319</v>
      </c>
      <c r="R63" s="350" t="s">
        <v>320</v>
      </c>
      <c r="S63" s="350" t="s">
        <v>321</v>
      </c>
      <c r="V63" s="350" t="s">
        <v>322</v>
      </c>
      <c r="W63" s="350" t="s">
        <v>323</v>
      </c>
      <c r="X63" s="350" t="s">
        <v>324</v>
      </c>
      <c r="Y63" s="350" t="s">
        <v>325</v>
      </c>
    </row>
    <row r="64" spans="1:25" ht="103.5" thickBot="1" thickTop="1">
      <c r="A64" s="362"/>
      <c r="B64" s="1" t="s">
        <v>68</v>
      </c>
      <c r="C64" s="353">
        <v>5</v>
      </c>
      <c r="D64" s="13"/>
      <c r="E64" s="1" t="s">
        <v>0</v>
      </c>
      <c r="F64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64" s="1" t="s">
        <v>15</v>
      </c>
      <c r="H64" s="13" t="s">
        <v>0</v>
      </c>
      <c r="I64" s="19" t="s">
        <v>0</v>
      </c>
      <c r="J64" s="1" t="s">
        <v>0</v>
      </c>
      <c r="K64" s="21">
        <f t="shared" si="2"/>
        <v>0</v>
      </c>
      <c r="P64" s="350" t="s">
        <v>318</v>
      </c>
      <c r="Q64" s="350" t="s">
        <v>319</v>
      </c>
      <c r="R64" s="350" t="s">
        <v>320</v>
      </c>
      <c r="S64" s="350" t="s">
        <v>321</v>
      </c>
      <c r="V64" s="350" t="s">
        <v>322</v>
      </c>
      <c r="W64" s="350" t="s">
        <v>323</v>
      </c>
      <c r="X64" s="350" t="s">
        <v>324</v>
      </c>
      <c r="Y64" s="350" t="s">
        <v>325</v>
      </c>
    </row>
    <row r="65" spans="1:25" ht="103.5" thickBot="1" thickTop="1">
      <c r="A65" s="363"/>
      <c r="B65" s="8" t="s">
        <v>69</v>
      </c>
      <c r="C65" s="355">
        <v>6</v>
      </c>
      <c r="D65" s="13"/>
      <c r="E65" s="8" t="s">
        <v>0</v>
      </c>
      <c r="F65" s="8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65" s="8" t="s">
        <v>15</v>
      </c>
      <c r="H65" s="13" t="s">
        <v>0</v>
      </c>
      <c r="I65" s="19" t="s">
        <v>0</v>
      </c>
      <c r="J65" s="8" t="s">
        <v>0</v>
      </c>
      <c r="K65" s="21">
        <f t="shared" si="2"/>
        <v>0</v>
      </c>
      <c r="P65" s="350" t="s">
        <v>318</v>
      </c>
      <c r="Q65" s="350" t="s">
        <v>319</v>
      </c>
      <c r="R65" s="350" t="s">
        <v>320</v>
      </c>
      <c r="S65" s="350" t="s">
        <v>321</v>
      </c>
      <c r="V65" s="350" t="s">
        <v>322</v>
      </c>
      <c r="W65" s="350" t="s">
        <v>323</v>
      </c>
      <c r="X65" s="350" t="s">
        <v>324</v>
      </c>
      <c r="Y65" s="350" t="s">
        <v>325</v>
      </c>
    </row>
    <row r="66" ht="13.5" thickTop="1"/>
    <row r="67" spans="1:11" ht="12.75">
      <c r="A67" s="333" t="s">
        <v>70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</row>
    <row r="68" spans="1:11" ht="64.5" thickBot="1">
      <c r="A68" s="335" t="s">
        <v>2</v>
      </c>
      <c r="B68" s="336" t="s">
        <v>3</v>
      </c>
      <c r="C68" s="337"/>
      <c r="D68" s="338" t="s">
        <v>4</v>
      </c>
      <c r="E68" s="338" t="s">
        <v>5</v>
      </c>
      <c r="F68" s="338" t="s">
        <v>6</v>
      </c>
      <c r="G68" s="338" t="s">
        <v>7</v>
      </c>
      <c r="H68" s="338" t="s">
        <v>8</v>
      </c>
      <c r="I68" s="338" t="s">
        <v>9</v>
      </c>
      <c r="J68" s="338" t="s">
        <v>10</v>
      </c>
      <c r="K68" s="339" t="s">
        <v>11</v>
      </c>
    </row>
    <row r="69" spans="1:11" ht="14.25" thickBot="1" thickTop="1">
      <c r="A69" s="340"/>
      <c r="B69" s="341"/>
      <c r="C69" s="342"/>
      <c r="D69" s="343">
        <v>1</v>
      </c>
      <c r="E69" s="343">
        <v>2</v>
      </c>
      <c r="F69" s="343">
        <v>3</v>
      </c>
      <c r="G69" s="343">
        <v>4</v>
      </c>
      <c r="H69" s="343">
        <v>5</v>
      </c>
      <c r="I69" s="343">
        <v>6</v>
      </c>
      <c r="J69" s="343">
        <v>7</v>
      </c>
      <c r="K69" s="344">
        <v>8</v>
      </c>
    </row>
    <row r="70" spans="1:25" ht="103.5" thickBot="1" thickTop="1">
      <c r="A70" s="348" t="s">
        <v>71</v>
      </c>
      <c r="B70" s="13" t="s">
        <v>72</v>
      </c>
      <c r="C70" s="349">
        <v>1</v>
      </c>
      <c r="D70" s="13"/>
      <c r="E70" s="13" t="s">
        <v>0</v>
      </c>
      <c r="F70" s="13" t="str">
        <f>"załącznik nr 1 IX ust. 1 pkt 7,  załącznik nr 3 ust. 2   "&amp;prawo!B5</f>
        <v>załącznik nr 1 IX ust. 1 pkt 7,  załącznik nr 3 ust. 2   rozporządzenia Ministra Zdrowia z dnia 26 czerwca 2012 r. w sprawie szczegółowych wymagań, jakim powinny odpowiadać pomieszczenia i urządzenia podmiotu wykonującego działalność leczniczą (Dz.U. z 2012 r. poz. 739);</v>
      </c>
      <c r="G70" s="13" t="s">
        <v>15</v>
      </c>
      <c r="H70" s="13" t="s">
        <v>0</v>
      </c>
      <c r="I70" s="19" t="s">
        <v>0</v>
      </c>
      <c r="J70" s="13" t="s">
        <v>0</v>
      </c>
      <c r="K70" s="21">
        <f aca="true" t="shared" si="3" ref="K70:K76">IF(I70=P70,V70,IF(I70=Q70,W70,IF(I70=R70,X70,IF(I70=S70,Y70,IF(I70=" "," ",)))))</f>
        <v>0</v>
      </c>
      <c r="P70" s="350" t="s">
        <v>318</v>
      </c>
      <c r="Q70" s="350" t="s">
        <v>319</v>
      </c>
      <c r="R70" s="350" t="s">
        <v>320</v>
      </c>
      <c r="S70" s="350" t="s">
        <v>321</v>
      </c>
      <c r="V70" s="350" t="s">
        <v>322</v>
      </c>
      <c r="W70" s="350" t="s">
        <v>323</v>
      </c>
      <c r="X70" s="350" t="s">
        <v>324</v>
      </c>
      <c r="Y70" s="350" t="s">
        <v>325</v>
      </c>
    </row>
    <row r="71" spans="1:25" ht="103.5" thickBot="1" thickTop="1">
      <c r="A71" s="360" t="s">
        <v>73</v>
      </c>
      <c r="B71" s="1" t="s">
        <v>47</v>
      </c>
      <c r="C71" s="353">
        <v>2</v>
      </c>
      <c r="D71" s="13"/>
      <c r="E71" s="1" t="s">
        <v>0</v>
      </c>
      <c r="F71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71" s="1" t="s">
        <v>15</v>
      </c>
      <c r="H71" s="13" t="s">
        <v>0</v>
      </c>
      <c r="I71" s="19" t="s">
        <v>0</v>
      </c>
      <c r="J71" s="1" t="s">
        <v>0</v>
      </c>
      <c r="K71" s="21">
        <f t="shared" si="3"/>
        <v>0</v>
      </c>
      <c r="P71" s="350" t="s">
        <v>318</v>
      </c>
      <c r="Q71" s="350" t="s">
        <v>319</v>
      </c>
      <c r="R71" s="350" t="s">
        <v>320</v>
      </c>
      <c r="S71" s="350" t="s">
        <v>321</v>
      </c>
      <c r="V71" s="350" t="s">
        <v>322</v>
      </c>
      <c r="W71" s="350" t="s">
        <v>323</v>
      </c>
      <c r="X71" s="350" t="s">
        <v>324</v>
      </c>
      <c r="Y71" s="350" t="s">
        <v>325</v>
      </c>
    </row>
    <row r="72" spans="1:25" ht="103.5" thickBot="1" thickTop="1">
      <c r="A72" s="362"/>
      <c r="B72" s="1" t="s">
        <v>48</v>
      </c>
      <c r="C72" s="353">
        <v>3</v>
      </c>
      <c r="D72" s="13"/>
      <c r="E72" s="1" t="s">
        <v>0</v>
      </c>
      <c r="F72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72" s="1" t="s">
        <v>15</v>
      </c>
      <c r="H72" s="13" t="s">
        <v>0</v>
      </c>
      <c r="I72" s="19" t="s">
        <v>0</v>
      </c>
      <c r="J72" s="1" t="s">
        <v>0</v>
      </c>
      <c r="K72" s="21">
        <f t="shared" si="3"/>
        <v>0</v>
      </c>
      <c r="P72" s="350" t="s">
        <v>318</v>
      </c>
      <c r="Q72" s="350" t="s">
        <v>319</v>
      </c>
      <c r="R72" s="350" t="s">
        <v>320</v>
      </c>
      <c r="S72" s="350" t="s">
        <v>321</v>
      </c>
      <c r="V72" s="350" t="s">
        <v>322</v>
      </c>
      <c r="W72" s="350" t="s">
        <v>323</v>
      </c>
      <c r="X72" s="350" t="s">
        <v>324</v>
      </c>
      <c r="Y72" s="350" t="s">
        <v>325</v>
      </c>
    </row>
    <row r="73" spans="1:25" ht="103.5" thickBot="1" thickTop="1">
      <c r="A73" s="362"/>
      <c r="B73" s="1" t="s">
        <v>49</v>
      </c>
      <c r="C73" s="353">
        <v>4</v>
      </c>
      <c r="D73" s="13"/>
      <c r="E73" s="1" t="s">
        <v>0</v>
      </c>
      <c r="F73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73" s="1" t="s">
        <v>15</v>
      </c>
      <c r="H73" s="13" t="s">
        <v>0</v>
      </c>
      <c r="I73" s="19" t="s">
        <v>0</v>
      </c>
      <c r="J73" s="1" t="s">
        <v>0</v>
      </c>
      <c r="K73" s="21">
        <f t="shared" si="3"/>
        <v>0</v>
      </c>
      <c r="P73" s="350" t="s">
        <v>318</v>
      </c>
      <c r="Q73" s="350" t="s">
        <v>319</v>
      </c>
      <c r="R73" s="350" t="s">
        <v>320</v>
      </c>
      <c r="S73" s="350" t="s">
        <v>321</v>
      </c>
      <c r="V73" s="350" t="s">
        <v>322</v>
      </c>
      <c r="W73" s="350" t="s">
        <v>323</v>
      </c>
      <c r="X73" s="350" t="s">
        <v>324</v>
      </c>
      <c r="Y73" s="350" t="s">
        <v>325</v>
      </c>
    </row>
    <row r="74" spans="1:25" ht="103.5" thickBot="1" thickTop="1">
      <c r="A74" s="361"/>
      <c r="B74" s="1" t="s">
        <v>50</v>
      </c>
      <c r="C74" s="353">
        <v>5</v>
      </c>
      <c r="D74" s="13"/>
      <c r="E74" s="1" t="s">
        <v>0</v>
      </c>
      <c r="F74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74" s="1" t="s">
        <v>15</v>
      </c>
      <c r="H74" s="13" t="s">
        <v>0</v>
      </c>
      <c r="I74" s="19" t="s">
        <v>0</v>
      </c>
      <c r="J74" s="1" t="s">
        <v>0</v>
      </c>
      <c r="K74" s="21">
        <f t="shared" si="3"/>
        <v>0</v>
      </c>
      <c r="P74" s="350" t="s">
        <v>318</v>
      </c>
      <c r="Q74" s="350" t="s">
        <v>319</v>
      </c>
      <c r="R74" s="350" t="s">
        <v>320</v>
      </c>
      <c r="S74" s="350" t="s">
        <v>321</v>
      </c>
      <c r="V74" s="350" t="s">
        <v>322</v>
      </c>
      <c r="W74" s="350" t="s">
        <v>323</v>
      </c>
      <c r="X74" s="350" t="s">
        <v>324</v>
      </c>
      <c r="Y74" s="350" t="s">
        <v>325</v>
      </c>
    </row>
    <row r="75" spans="1:24" ht="90.75" thickBot="1" thickTop="1">
      <c r="A75" s="360" t="s">
        <v>74</v>
      </c>
      <c r="B75" s="1" t="s">
        <v>52</v>
      </c>
      <c r="C75" s="353">
        <v>6</v>
      </c>
      <c r="D75" s="13"/>
      <c r="E75" s="1" t="s">
        <v>0</v>
      </c>
      <c r="F75" s="1" t="str">
        <f>"załącznik nr 3 §2 ust. 2 "&amp;prawo!B7</f>
        <v>załącznik nr 3 §2 ust. 2 rozporządzenia Ministra Pracy i Polityki Socjalnej z dnia 26.09.1997r. w sprawie ogólnych przepisów bezpieczeństwa i higieny pracy (t.j. Dz. U. z 2003 r. nr 169, poz. 1650 z późn. zm.)</v>
      </c>
      <c r="G75" s="1" t="s">
        <v>15</v>
      </c>
      <c r="H75" s="13" t="s">
        <v>0</v>
      </c>
      <c r="I75" s="1" t="s">
        <v>0</v>
      </c>
      <c r="J75" s="1" t="s">
        <v>0</v>
      </c>
      <c r="K75" s="21">
        <f t="shared" si="3"/>
        <v>0</v>
      </c>
      <c r="P75" s="350" t="s">
        <v>327</v>
      </c>
      <c r="Q75" s="350" t="s">
        <v>328</v>
      </c>
      <c r="R75" s="350" t="s">
        <v>329</v>
      </c>
      <c r="V75" s="350" t="s">
        <v>330</v>
      </c>
      <c r="W75" s="350" t="s">
        <v>331</v>
      </c>
      <c r="X75" s="350" t="s">
        <v>332</v>
      </c>
    </row>
    <row r="76" spans="1:24" ht="90.75" thickBot="1" thickTop="1">
      <c r="A76" s="363"/>
      <c r="B76" s="8" t="s">
        <v>53</v>
      </c>
      <c r="C76" s="355">
        <v>7</v>
      </c>
      <c r="D76" s="13"/>
      <c r="E76" s="8" t="s">
        <v>0</v>
      </c>
      <c r="F76" s="8" t="str">
        <f>"załącznik nr 3 §2 ust. 1 "&amp;prawo!B7</f>
        <v>załącznik nr 3 §2 ust. 1 rozporządzenia Ministra Pracy i Polityki Socjalnej z dnia 26.09.1997r. w sprawie ogólnych przepisów bezpieczeństwa i higieny pracy (t.j. Dz. U. z 2003 r. nr 169, poz. 1650 z późn. zm.)</v>
      </c>
      <c r="G76" s="8" t="s">
        <v>15</v>
      </c>
      <c r="H76" s="13" t="s">
        <v>0</v>
      </c>
      <c r="I76" s="1" t="s">
        <v>0</v>
      </c>
      <c r="J76" s="8" t="s">
        <v>0</v>
      </c>
      <c r="K76" s="21">
        <f t="shared" si="3"/>
        <v>0</v>
      </c>
      <c r="P76" s="350" t="s">
        <v>327</v>
      </c>
      <c r="Q76" s="350" t="s">
        <v>328</v>
      </c>
      <c r="R76" s="350" t="s">
        <v>329</v>
      </c>
      <c r="V76" s="350" t="s">
        <v>330</v>
      </c>
      <c r="W76" s="350" t="s">
        <v>331</v>
      </c>
      <c r="X76" s="350" t="s">
        <v>332</v>
      </c>
    </row>
    <row r="77" ht="13.5" thickTop="1"/>
    <row r="78" spans="1:11" ht="12.75">
      <c r="A78" s="333" t="s">
        <v>75</v>
      </c>
      <c r="B78" s="334"/>
      <c r="C78" s="334"/>
      <c r="D78" s="334"/>
      <c r="E78" s="334"/>
      <c r="F78" s="334"/>
      <c r="G78" s="334"/>
      <c r="H78" s="334"/>
      <c r="I78" s="334"/>
      <c r="J78" s="334"/>
      <c r="K78" s="334"/>
    </row>
    <row r="79" spans="1:11" ht="51.75" thickBot="1">
      <c r="A79" s="335" t="s">
        <v>2</v>
      </c>
      <c r="B79" s="336" t="s">
        <v>3</v>
      </c>
      <c r="C79" s="337"/>
      <c r="D79" s="338" t="s">
        <v>4</v>
      </c>
      <c r="E79" s="338" t="s">
        <v>5</v>
      </c>
      <c r="F79" s="338" t="s">
        <v>6</v>
      </c>
      <c r="G79" s="338" t="s">
        <v>7</v>
      </c>
      <c r="H79" s="338" t="s">
        <v>27</v>
      </c>
      <c r="I79" s="338" t="s">
        <v>9</v>
      </c>
      <c r="J79" s="338" t="s">
        <v>10</v>
      </c>
      <c r="K79" s="339" t="s">
        <v>11</v>
      </c>
    </row>
    <row r="80" spans="1:11" ht="14.25" thickBot="1" thickTop="1">
      <c r="A80" s="340"/>
      <c r="B80" s="341"/>
      <c r="C80" s="342"/>
      <c r="D80" s="343">
        <v>1</v>
      </c>
      <c r="E80" s="343">
        <v>2</v>
      </c>
      <c r="F80" s="343">
        <v>3</v>
      </c>
      <c r="G80" s="343">
        <v>4</v>
      </c>
      <c r="H80" s="343">
        <v>5</v>
      </c>
      <c r="I80" s="343">
        <v>6</v>
      </c>
      <c r="J80" s="343">
        <v>7</v>
      </c>
      <c r="K80" s="344">
        <v>8</v>
      </c>
    </row>
    <row r="81" spans="1:25" ht="103.5" thickBot="1" thickTop="1">
      <c r="A81" s="358" t="s">
        <v>76</v>
      </c>
      <c r="B81" s="19" t="s">
        <v>77</v>
      </c>
      <c r="C81" s="359">
        <v>1</v>
      </c>
      <c r="D81" s="13"/>
      <c r="E81" s="19" t="s">
        <v>0</v>
      </c>
      <c r="F81" s="19" t="str">
        <f>"załącznik nr 1 IX ust. 1 pkt 8, załącznik nr 3 ust. 2  "&amp;prawo!B5</f>
        <v>załącznik nr 1 IX ust. 1 pkt 8, załącznik nr 3 ust. 2  rozporządzenia Ministra Zdrowia z dnia 26 czerwca 2012 r. w sprawie szczegółowych wymagań, jakim powinny odpowiadać pomieszczenia i urządzenia podmiotu wykonującego działalność leczniczą (Dz.U. z 2012 r. poz. 739);</v>
      </c>
      <c r="G81" s="19" t="s">
        <v>15</v>
      </c>
      <c r="H81" s="13" t="s">
        <v>0</v>
      </c>
      <c r="I81" s="19" t="s">
        <v>0</v>
      </c>
      <c r="J81" s="19" t="s">
        <v>0</v>
      </c>
      <c r="K81" s="21">
        <f>IF(I81=P81,V81,IF(I81=Q81,W81,IF(I81=R81,X81,IF(I81=S81,Y81,IF(I81=" "," ",)))))</f>
        <v>0</v>
      </c>
      <c r="P81" s="350" t="s">
        <v>318</v>
      </c>
      <c r="Q81" s="350" t="s">
        <v>319</v>
      </c>
      <c r="R81" s="350" t="s">
        <v>320</v>
      </c>
      <c r="S81" s="350" t="s">
        <v>321</v>
      </c>
      <c r="V81" s="350" t="s">
        <v>322</v>
      </c>
      <c r="W81" s="350" t="s">
        <v>323</v>
      </c>
      <c r="X81" s="350" t="s">
        <v>324</v>
      </c>
      <c r="Y81" s="350" t="s">
        <v>325</v>
      </c>
    </row>
    <row r="82" ht="13.5" thickTop="1"/>
    <row r="83" spans="1:11" ht="12.75">
      <c r="A83" s="333" t="s">
        <v>78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</row>
    <row r="84" spans="1:11" ht="51.75" thickBot="1">
      <c r="A84" s="335" t="s">
        <v>2</v>
      </c>
      <c r="B84" s="336" t="s">
        <v>3</v>
      </c>
      <c r="C84" s="337"/>
      <c r="D84" s="338" t="s">
        <v>4</v>
      </c>
      <c r="E84" s="338" t="s">
        <v>5</v>
      </c>
      <c r="F84" s="338" t="s">
        <v>6</v>
      </c>
      <c r="G84" s="338" t="s">
        <v>7</v>
      </c>
      <c r="H84" s="338" t="s">
        <v>27</v>
      </c>
      <c r="I84" s="338" t="s">
        <v>9</v>
      </c>
      <c r="J84" s="338" t="s">
        <v>10</v>
      </c>
      <c r="K84" s="339" t="s">
        <v>11</v>
      </c>
    </row>
    <row r="85" spans="1:11" ht="14.25" thickBot="1" thickTop="1">
      <c r="A85" s="340"/>
      <c r="B85" s="341"/>
      <c r="C85" s="342"/>
      <c r="D85" s="343">
        <v>1</v>
      </c>
      <c r="E85" s="343">
        <v>2</v>
      </c>
      <c r="F85" s="343">
        <v>3</v>
      </c>
      <c r="G85" s="343">
        <v>4</v>
      </c>
      <c r="H85" s="343">
        <v>5</v>
      </c>
      <c r="I85" s="343">
        <v>6</v>
      </c>
      <c r="J85" s="343">
        <v>7</v>
      </c>
      <c r="K85" s="344">
        <v>8</v>
      </c>
    </row>
    <row r="86" spans="1:25" ht="103.5" thickBot="1" thickTop="1">
      <c r="A86" s="358" t="s">
        <v>79</v>
      </c>
      <c r="B86" s="19" t="s">
        <v>80</v>
      </c>
      <c r="C86" s="359">
        <v>1</v>
      </c>
      <c r="D86" s="13"/>
      <c r="E86" s="19" t="s">
        <v>0</v>
      </c>
      <c r="F86" s="19" t="str">
        <f>"załącznik nr 1 IX ust. 1 pkt 9, załącznik nr 3 ust. 2  "&amp;prawo!B5</f>
        <v>załącznik nr 1 IX ust. 1 pkt 9, załącznik nr 3 ust. 2  rozporządzenia Ministra Zdrowia z dnia 26 czerwca 2012 r. w sprawie szczegółowych wymagań, jakim powinny odpowiadać pomieszczenia i urządzenia podmiotu wykonującego działalność leczniczą (Dz.U. z 2012 r. poz. 739);</v>
      </c>
      <c r="G86" s="19" t="s">
        <v>15</v>
      </c>
      <c r="H86" s="13" t="s">
        <v>0</v>
      </c>
      <c r="I86" s="19" t="s">
        <v>0</v>
      </c>
      <c r="J86" s="19" t="s">
        <v>0</v>
      </c>
      <c r="K86" s="21">
        <f>IF(I86=P86,V86,IF(I86=Q86,W86,IF(I86=R86,X86,IF(I86=S86,Y86,IF(I86=" "," ",)))))</f>
        <v>0</v>
      </c>
      <c r="P86" s="350" t="s">
        <v>318</v>
      </c>
      <c r="Q86" s="350" t="s">
        <v>319</v>
      </c>
      <c r="R86" s="350" t="s">
        <v>320</v>
      </c>
      <c r="S86" s="350" t="s">
        <v>321</v>
      </c>
      <c r="V86" s="350" t="s">
        <v>322</v>
      </c>
      <c r="W86" s="350" t="s">
        <v>323</v>
      </c>
      <c r="X86" s="350" t="s">
        <v>324</v>
      </c>
      <c r="Y86" s="350" t="s">
        <v>325</v>
      </c>
    </row>
    <row r="87" ht="13.5" thickTop="1"/>
    <row r="88" spans="1:11" ht="12.75">
      <c r="A88" s="333" t="s">
        <v>81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</row>
    <row r="89" spans="1:11" ht="51.75" thickBot="1">
      <c r="A89" s="335" t="s">
        <v>2</v>
      </c>
      <c r="B89" s="336" t="s">
        <v>3</v>
      </c>
      <c r="C89" s="337"/>
      <c r="D89" s="338" t="s">
        <v>4</v>
      </c>
      <c r="E89" s="338" t="s">
        <v>5</v>
      </c>
      <c r="F89" s="338" t="s">
        <v>6</v>
      </c>
      <c r="G89" s="338" t="s">
        <v>7</v>
      </c>
      <c r="H89" s="338" t="s">
        <v>27</v>
      </c>
      <c r="I89" s="338" t="s">
        <v>9</v>
      </c>
      <c r="J89" s="338" t="s">
        <v>10</v>
      </c>
      <c r="K89" s="339" t="s">
        <v>11</v>
      </c>
    </row>
    <row r="90" spans="1:11" ht="14.25" thickBot="1" thickTop="1">
      <c r="A90" s="340"/>
      <c r="B90" s="341"/>
      <c r="C90" s="342"/>
      <c r="D90" s="343">
        <v>1</v>
      </c>
      <c r="E90" s="343">
        <v>2</v>
      </c>
      <c r="F90" s="343">
        <v>3</v>
      </c>
      <c r="G90" s="343">
        <v>4</v>
      </c>
      <c r="H90" s="343">
        <v>5</v>
      </c>
      <c r="I90" s="343">
        <v>6</v>
      </c>
      <c r="J90" s="343">
        <v>7</v>
      </c>
      <c r="K90" s="344">
        <v>8</v>
      </c>
    </row>
    <row r="91" spans="1:25" ht="103.5" thickBot="1" thickTop="1">
      <c r="A91" s="358" t="s">
        <v>82</v>
      </c>
      <c r="B91" s="19" t="s">
        <v>83</v>
      </c>
      <c r="C91" s="359">
        <v>1</v>
      </c>
      <c r="D91" s="13"/>
      <c r="E91" s="19" t="s">
        <v>0</v>
      </c>
      <c r="F91" s="19" t="str">
        <f>"załącznik nr 1 IX ust. 1 pkt 10, załącznik nr 3 ust. 2  "&amp;prawo!B5</f>
        <v>załącznik nr 1 IX ust. 1 pkt 10, załącznik nr 3 ust. 2  rozporządzenia Ministra Zdrowia z dnia 26 czerwca 2012 r. w sprawie szczegółowych wymagań, jakim powinny odpowiadać pomieszczenia i urządzenia podmiotu wykonującego działalność leczniczą (Dz.U. z 2012 r. poz. 739);</v>
      </c>
      <c r="G91" s="19" t="s">
        <v>15</v>
      </c>
      <c r="H91" s="13" t="s">
        <v>0</v>
      </c>
      <c r="I91" s="19" t="s">
        <v>0</v>
      </c>
      <c r="J91" s="19" t="s">
        <v>0</v>
      </c>
      <c r="K91" s="21">
        <f>IF(I91=P91,V91,IF(I91=Q91,W91,IF(I91=R91,X91,IF(I91=S91,Y91,IF(I91=" "," ",)))))</f>
        <v>0</v>
      </c>
      <c r="P91" s="350" t="s">
        <v>318</v>
      </c>
      <c r="Q91" s="350" t="s">
        <v>319</v>
      </c>
      <c r="R91" s="350" t="s">
        <v>320</v>
      </c>
      <c r="S91" s="350" t="s">
        <v>321</v>
      </c>
      <c r="V91" s="350" t="s">
        <v>322</v>
      </c>
      <c r="W91" s="350" t="s">
        <v>323</v>
      </c>
      <c r="X91" s="350" t="s">
        <v>324</v>
      </c>
      <c r="Y91" s="350" t="s">
        <v>325</v>
      </c>
    </row>
    <row r="92" ht="13.5" thickTop="1"/>
    <row r="93" spans="1:11" ht="12.75">
      <c r="A93" s="333" t="s">
        <v>84</v>
      </c>
      <c r="B93" s="334"/>
      <c r="C93" s="334"/>
      <c r="D93" s="334"/>
      <c r="E93" s="334"/>
      <c r="F93" s="334"/>
      <c r="G93" s="334"/>
      <c r="H93" s="334"/>
      <c r="I93" s="334"/>
      <c r="J93" s="334"/>
      <c r="K93" s="334"/>
    </row>
    <row r="94" spans="1:11" ht="64.5" thickBot="1">
      <c r="A94" s="335" t="s">
        <v>2</v>
      </c>
      <c r="B94" s="336" t="s">
        <v>3</v>
      </c>
      <c r="C94" s="337"/>
      <c r="D94" s="338" t="s">
        <v>4</v>
      </c>
      <c r="E94" s="338" t="s">
        <v>5</v>
      </c>
      <c r="F94" s="338" t="s">
        <v>6</v>
      </c>
      <c r="G94" s="338" t="s">
        <v>7</v>
      </c>
      <c r="H94" s="338" t="s">
        <v>8</v>
      </c>
      <c r="I94" s="338" t="s">
        <v>9</v>
      </c>
      <c r="J94" s="338" t="s">
        <v>10</v>
      </c>
      <c r="K94" s="339" t="s">
        <v>11</v>
      </c>
    </row>
    <row r="95" spans="1:11" ht="14.25" thickBot="1" thickTop="1">
      <c r="A95" s="340"/>
      <c r="B95" s="341"/>
      <c r="C95" s="342"/>
      <c r="D95" s="343">
        <v>1</v>
      </c>
      <c r="E95" s="343">
        <v>2</v>
      </c>
      <c r="F95" s="343">
        <v>3</v>
      </c>
      <c r="G95" s="343">
        <v>4</v>
      </c>
      <c r="H95" s="343">
        <v>5</v>
      </c>
      <c r="I95" s="343">
        <v>6</v>
      </c>
      <c r="J95" s="343">
        <v>7</v>
      </c>
      <c r="K95" s="344">
        <v>8</v>
      </c>
    </row>
    <row r="96" spans="1:23" ht="269.25" thickBot="1" thickTop="1">
      <c r="A96" s="348" t="s">
        <v>85</v>
      </c>
      <c r="B96" s="13" t="s">
        <v>86</v>
      </c>
      <c r="C96" s="349">
        <v>1</v>
      </c>
      <c r="D96" s="13"/>
      <c r="E96" s="13" t="s">
        <v>0</v>
      </c>
      <c r="F96" s="13" t="str">
        <f>"art. 11 ust. 2 pkt 3 "&amp;prawo!B3</f>
        <v>art. 11 ust. 2 pkt 3 ustawy z dnia 5 grudnia 2008 r. o zapobieganiu oraz zwalczaniu zakażeń i chorób zakaźnych u ludzi (tekst jednolity Dz.U. z 2018 poz. 151);</v>
      </c>
      <c r="G96" s="13" t="s">
        <v>87</v>
      </c>
      <c r="H96" s="13" t="s">
        <v>0</v>
      </c>
      <c r="I96" s="13" t="s">
        <v>0</v>
      </c>
      <c r="J96" s="13" t="s">
        <v>0</v>
      </c>
      <c r="K96" s="21">
        <f>IF(I96=P96,V96,IF(I96=Q96,W96,IF(I96=R96,X96,IF(I96=S96,Y96,IF(I96=" "," ",)))))</f>
        <v>0</v>
      </c>
      <c r="P96" s="350" t="s">
        <v>333</v>
      </c>
      <c r="Q96" s="350" t="s">
        <v>334</v>
      </c>
      <c r="V96" s="350" t="s">
        <v>335</v>
      </c>
      <c r="W96" s="350" t="s">
        <v>336</v>
      </c>
    </row>
    <row r="97" spans="1:23" ht="269.25" thickBot="1" thickTop="1">
      <c r="A97" s="352" t="s">
        <v>88</v>
      </c>
      <c r="B97" s="1" t="s">
        <v>89</v>
      </c>
      <c r="C97" s="353">
        <v>2</v>
      </c>
      <c r="D97" s="13"/>
      <c r="E97" s="1" t="s">
        <v>0</v>
      </c>
      <c r="F97" s="1" t="str">
        <f>"art. 11 ust. 2 pkt 3 "&amp;prawo!B3</f>
        <v>art. 11 ust. 2 pkt 3 ustawy z dnia 5 grudnia 2008 r. o zapobieganiu oraz zwalczaniu zakażeń i chorób zakaźnych u ludzi (tekst jednolity Dz.U. z 2018 poz. 151);</v>
      </c>
      <c r="G97" s="1" t="s">
        <v>15</v>
      </c>
      <c r="H97" s="13" t="s">
        <v>0</v>
      </c>
      <c r="I97" s="13" t="s">
        <v>0</v>
      </c>
      <c r="J97" s="1" t="s">
        <v>0</v>
      </c>
      <c r="K97" s="21">
        <f>IF(I97=P97,V97,IF(I97=Q97,W97,IF(I97=R97,X97,IF(I97=S97,Y97,IF(I97=" "," ",)))))</f>
        <v>0</v>
      </c>
      <c r="P97" s="350" t="s">
        <v>333</v>
      </c>
      <c r="Q97" s="350" t="s">
        <v>334</v>
      </c>
      <c r="V97" s="350" t="s">
        <v>335</v>
      </c>
      <c r="W97" s="350" t="s">
        <v>336</v>
      </c>
    </row>
    <row r="98" spans="1:23" ht="269.25" thickBot="1" thickTop="1">
      <c r="A98" s="354" t="s">
        <v>90</v>
      </c>
      <c r="B98" s="8" t="s">
        <v>91</v>
      </c>
      <c r="C98" s="355">
        <v>3</v>
      </c>
      <c r="D98" s="13"/>
      <c r="E98" s="8" t="s">
        <v>0</v>
      </c>
      <c r="F98" s="8" t="str">
        <f>"art. 11 ust. 2 pkt 3 "&amp;prawo!B3</f>
        <v>art. 11 ust. 2 pkt 3 ustawy z dnia 5 grudnia 2008 r. o zapobieganiu oraz zwalczaniu zakażeń i chorób zakaźnych u ludzi (tekst jednolity Dz.U. z 2018 poz. 151);</v>
      </c>
      <c r="G98" s="8" t="s">
        <v>87</v>
      </c>
      <c r="H98" s="13" t="s">
        <v>0</v>
      </c>
      <c r="I98" s="13" t="s">
        <v>333</v>
      </c>
      <c r="J98" s="8" t="s">
        <v>0</v>
      </c>
      <c r="K98" s="21" t="str">
        <f>IF(I98=P98,V98,IF(I98=Q98,W98,IF(I98=R98,X98,IF(I98=S98,Y98,IF(I98=" "," ",)))))</f>
        <v>1. decyzja merytorycznae + decyzja płatnicza    </v>
      </c>
      <c r="P98" s="350" t="s">
        <v>333</v>
      </c>
      <c r="Q98" s="350" t="s">
        <v>334</v>
      </c>
      <c r="V98" s="350" t="s">
        <v>335</v>
      </c>
      <c r="W98" s="350" t="s">
        <v>336</v>
      </c>
    </row>
    <row r="99" spans="1:11" ht="13.5" thickTop="1">
      <c r="A99" s="356" t="s">
        <v>92</v>
      </c>
      <c r="B99" s="357"/>
      <c r="C99" s="357"/>
      <c r="D99" s="357"/>
      <c r="E99" s="357"/>
      <c r="F99" s="357"/>
      <c r="G99" s="357"/>
      <c r="H99" s="357"/>
      <c r="I99" s="357"/>
      <c r="J99" s="357"/>
      <c r="K99" s="357"/>
    </row>
    <row r="101" spans="1:11" ht="12.75">
      <c r="A101" s="333" t="s">
        <v>93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</row>
    <row r="102" spans="1:11" ht="64.5" thickBot="1">
      <c r="A102" s="335" t="s">
        <v>2</v>
      </c>
      <c r="B102" s="336" t="s">
        <v>3</v>
      </c>
      <c r="C102" s="337"/>
      <c r="D102" s="338" t="s">
        <v>4</v>
      </c>
      <c r="E102" s="338" t="s">
        <v>5</v>
      </c>
      <c r="F102" s="338" t="s">
        <v>6</v>
      </c>
      <c r="G102" s="338" t="s">
        <v>7</v>
      </c>
      <c r="H102" s="338" t="s">
        <v>8</v>
      </c>
      <c r="I102" s="338" t="s">
        <v>9</v>
      </c>
      <c r="J102" s="338" t="s">
        <v>10</v>
      </c>
      <c r="K102" s="339" t="s">
        <v>11</v>
      </c>
    </row>
    <row r="103" spans="1:11" ht="14.25" thickBot="1" thickTop="1">
      <c r="A103" s="340"/>
      <c r="B103" s="341"/>
      <c r="C103" s="342"/>
      <c r="D103" s="343">
        <v>1</v>
      </c>
      <c r="E103" s="343">
        <v>2</v>
      </c>
      <c r="F103" s="343">
        <v>3</v>
      </c>
      <c r="G103" s="343">
        <v>4</v>
      </c>
      <c r="H103" s="343">
        <v>5</v>
      </c>
      <c r="I103" s="343">
        <v>6</v>
      </c>
      <c r="J103" s="343">
        <v>7</v>
      </c>
      <c r="K103" s="344">
        <v>8</v>
      </c>
    </row>
    <row r="104" spans="1:25" ht="103.5" thickBot="1" thickTop="1">
      <c r="A104" s="364" t="s">
        <v>94</v>
      </c>
      <c r="B104" s="13" t="s">
        <v>95</v>
      </c>
      <c r="C104" s="349">
        <v>1</v>
      </c>
      <c r="D104" s="13"/>
      <c r="E104" s="13" t="s">
        <v>0</v>
      </c>
      <c r="F104" s="13" t="str">
        <f>"załącznik nr 1 IX ust. 1 pkt 11,  załącznik nr 3 ust. 2   "&amp;prawo!B5</f>
        <v>załącznik nr 1 IX ust. 1 pkt 11,  załącznik nr 3 ust. 2   rozporządzenia Ministra Zdrowia z dnia 26 czerwca 2012 r. w sprawie szczegółowych wymagań, jakim powinny odpowiadać pomieszczenia i urządzenia podmiotu wykonującego działalność leczniczą (Dz.U. z 2012 r. poz. 739);</v>
      </c>
      <c r="G104" s="13" t="s">
        <v>15</v>
      </c>
      <c r="H104" s="13" t="s">
        <v>0</v>
      </c>
      <c r="I104" s="13" t="s">
        <v>0</v>
      </c>
      <c r="J104" s="13" t="s">
        <v>0</v>
      </c>
      <c r="K104" s="21">
        <f>IF(I104=P104,V104,IF(I104=Q104,W104,IF(I104=R104,X104,IF(I104=S104,Y104,IF(I104=" "," ",)))))</f>
        <v>0</v>
      </c>
      <c r="P104" s="350" t="s">
        <v>318</v>
      </c>
      <c r="Q104" s="350" t="s">
        <v>319</v>
      </c>
      <c r="R104" s="350" t="s">
        <v>320</v>
      </c>
      <c r="S104" s="350" t="s">
        <v>321</v>
      </c>
      <c r="V104" s="350" t="s">
        <v>322</v>
      </c>
      <c r="W104" s="350" t="s">
        <v>323</v>
      </c>
      <c r="X104" s="350" t="s">
        <v>324</v>
      </c>
      <c r="Y104" s="350" t="s">
        <v>325</v>
      </c>
    </row>
    <row r="105" spans="1:25" ht="103.5" thickBot="1" thickTop="1">
      <c r="A105" s="362"/>
      <c r="B105" s="1" t="s">
        <v>96</v>
      </c>
      <c r="C105" s="353">
        <v>2</v>
      </c>
      <c r="D105" s="13"/>
      <c r="E105" s="1" t="s">
        <v>0</v>
      </c>
      <c r="F105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105" s="1" t="s">
        <v>15</v>
      </c>
      <c r="H105" s="13" t="s">
        <v>0</v>
      </c>
      <c r="I105" s="13" t="s">
        <v>0</v>
      </c>
      <c r="J105" s="1" t="s">
        <v>0</v>
      </c>
      <c r="K105" s="21">
        <f>IF(I105=P105,V105,IF(I105=Q105,W105,IF(I105=R105,X105,IF(I105=S105,Y105,IF(I105=" "," ",)))))</f>
        <v>0</v>
      </c>
      <c r="P105" s="350" t="s">
        <v>318</v>
      </c>
      <c r="Q105" s="350" t="s">
        <v>319</v>
      </c>
      <c r="R105" s="350" t="s">
        <v>320</v>
      </c>
      <c r="S105" s="350" t="s">
        <v>321</v>
      </c>
      <c r="V105" s="350" t="s">
        <v>322</v>
      </c>
      <c r="W105" s="350" t="s">
        <v>323</v>
      </c>
      <c r="X105" s="350" t="s">
        <v>324</v>
      </c>
      <c r="Y105" s="350" t="s">
        <v>325</v>
      </c>
    </row>
    <row r="106" spans="1:25" ht="103.5" thickBot="1" thickTop="1">
      <c r="A106" s="362"/>
      <c r="B106" s="1" t="s">
        <v>97</v>
      </c>
      <c r="C106" s="353">
        <v>3</v>
      </c>
      <c r="D106" s="13"/>
      <c r="E106" s="1" t="s">
        <v>0</v>
      </c>
      <c r="F106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106" s="1" t="s">
        <v>15</v>
      </c>
      <c r="H106" s="13" t="s">
        <v>0</v>
      </c>
      <c r="I106" s="13" t="s">
        <v>0</v>
      </c>
      <c r="J106" s="1" t="s">
        <v>0</v>
      </c>
      <c r="K106" s="21">
        <f>IF(I106=P106,V106,IF(I106=Q106,W106,IF(I106=R106,X106,IF(I106=S106,Y106,IF(I106=" "," ",)))))</f>
        <v>0</v>
      </c>
      <c r="P106" s="350" t="s">
        <v>318</v>
      </c>
      <c r="Q106" s="350" t="s">
        <v>319</v>
      </c>
      <c r="R106" s="350" t="s">
        <v>320</v>
      </c>
      <c r="S106" s="350" t="s">
        <v>321</v>
      </c>
      <c r="V106" s="350" t="s">
        <v>322</v>
      </c>
      <c r="W106" s="350" t="s">
        <v>323</v>
      </c>
      <c r="X106" s="350" t="s">
        <v>324</v>
      </c>
      <c r="Y106" s="350" t="s">
        <v>325</v>
      </c>
    </row>
    <row r="107" spans="1:23" ht="269.25" thickBot="1" thickTop="1">
      <c r="A107" s="363"/>
      <c r="B107" s="8" t="s">
        <v>98</v>
      </c>
      <c r="C107" s="355">
        <v>4</v>
      </c>
      <c r="D107" s="13"/>
      <c r="E107" s="8" t="s">
        <v>0</v>
      </c>
      <c r="F107" s="8" t="str">
        <f>"art. 11 ust. 2 pkt 3 "&amp;prawo!B3</f>
        <v>art. 11 ust. 2 pkt 3 ustawy z dnia 5 grudnia 2008 r. o zapobieganiu oraz zwalczaniu zakażeń i chorób zakaźnych u ludzi (tekst jednolity Dz.U. z 2018 poz. 151);</v>
      </c>
      <c r="G107" s="8" t="s">
        <v>87</v>
      </c>
      <c r="H107" s="13" t="s">
        <v>0</v>
      </c>
      <c r="I107" s="8" t="s">
        <v>0</v>
      </c>
      <c r="J107" s="8" t="s">
        <v>0</v>
      </c>
      <c r="K107" s="21">
        <f>IF(I107=P107,V107,IF(I107=Q107,W107,IF(I107=R107,X107,IF(I107=S107,Y107,IF(I107=" "," ",)))))</f>
        <v>0</v>
      </c>
      <c r="P107" s="350" t="s">
        <v>333</v>
      </c>
      <c r="Q107" s="350" t="s">
        <v>334</v>
      </c>
      <c r="V107" s="350" t="s">
        <v>335</v>
      </c>
      <c r="W107" s="350" t="s">
        <v>336</v>
      </c>
    </row>
    <row r="108" ht="13.5" thickTop="1"/>
    <row r="109" spans="1:11" ht="12.75">
      <c r="A109" s="333" t="s">
        <v>99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</row>
    <row r="110" spans="1:11" ht="51.75" thickBot="1">
      <c r="A110" s="335" t="s">
        <v>2</v>
      </c>
      <c r="B110" s="336" t="s">
        <v>3</v>
      </c>
      <c r="C110" s="337"/>
      <c r="D110" s="338" t="s">
        <v>4</v>
      </c>
      <c r="E110" s="338" t="s">
        <v>5</v>
      </c>
      <c r="F110" s="338" t="s">
        <v>6</v>
      </c>
      <c r="G110" s="338" t="s">
        <v>7</v>
      </c>
      <c r="H110" s="338" t="s">
        <v>27</v>
      </c>
      <c r="I110" s="338" t="s">
        <v>9</v>
      </c>
      <c r="J110" s="338" t="s">
        <v>10</v>
      </c>
      <c r="K110" s="339" t="s">
        <v>11</v>
      </c>
    </row>
    <row r="111" spans="1:11" ht="14.25" thickBot="1" thickTop="1">
      <c r="A111" s="340"/>
      <c r="B111" s="341"/>
      <c r="C111" s="342"/>
      <c r="D111" s="343">
        <v>1</v>
      </c>
      <c r="E111" s="343">
        <v>2</v>
      </c>
      <c r="F111" s="343">
        <v>3</v>
      </c>
      <c r="G111" s="343">
        <v>4</v>
      </c>
      <c r="H111" s="343">
        <v>5</v>
      </c>
      <c r="I111" s="343">
        <v>6</v>
      </c>
      <c r="J111" s="343">
        <v>7</v>
      </c>
      <c r="K111" s="344">
        <v>8</v>
      </c>
    </row>
    <row r="112" spans="1:25" ht="103.5" thickBot="1" thickTop="1">
      <c r="A112" s="364" t="s">
        <v>100</v>
      </c>
      <c r="B112" s="13" t="s">
        <v>101</v>
      </c>
      <c r="C112" s="349">
        <v>1</v>
      </c>
      <c r="D112" s="13"/>
      <c r="E112" s="13" t="s">
        <v>0</v>
      </c>
      <c r="F112" s="13" t="str">
        <f>"§26 ust 3 "&amp;prawo!B5</f>
        <v>§26 ust 3 rozporządzenia Ministra Zdrowia z dnia 26 czerwca 2012 r. w sprawie szczegółowych wymagań, jakim powinny odpowiadać pomieszczenia i urządzenia podmiotu wykonującego działalność leczniczą (Dz.U. z 2012 r. poz. 739);</v>
      </c>
      <c r="G112" s="13" t="s">
        <v>15</v>
      </c>
      <c r="H112" s="13" t="s">
        <v>0</v>
      </c>
      <c r="I112" s="13" t="s">
        <v>0</v>
      </c>
      <c r="J112" s="13" t="s">
        <v>0</v>
      </c>
      <c r="K112" s="21">
        <f>IF(I112=P112,V112,IF(I112=Q112,W112,IF(I112=R112,X112,IF(I112=S112,Y112,IF(I112=" "," ",)))))</f>
        <v>0</v>
      </c>
      <c r="P112" s="350" t="s">
        <v>318</v>
      </c>
      <c r="Q112" s="350" t="s">
        <v>319</v>
      </c>
      <c r="R112" s="350" t="s">
        <v>320</v>
      </c>
      <c r="S112" s="350" t="s">
        <v>321</v>
      </c>
      <c r="V112" s="350" t="s">
        <v>322</v>
      </c>
      <c r="W112" s="350" t="s">
        <v>323</v>
      </c>
      <c r="X112" s="350" t="s">
        <v>324</v>
      </c>
      <c r="Y112" s="350" t="s">
        <v>325</v>
      </c>
    </row>
    <row r="113" spans="1:25" ht="103.5" thickBot="1" thickTop="1">
      <c r="A113" s="363"/>
      <c r="B113" s="8" t="s">
        <v>102</v>
      </c>
      <c r="C113" s="355">
        <v>2</v>
      </c>
      <c r="D113" s="13"/>
      <c r="E113" s="8" t="s">
        <v>0</v>
      </c>
      <c r="F113" s="8" t="str">
        <f>"§26 ust 1 "&amp;prawo!B5</f>
        <v>§26 ust 1 rozporządzenia Ministra Zdrowia z dnia 26 czerwca 2012 r. w sprawie szczegółowych wymagań, jakim powinny odpowiadać pomieszczenia i urządzenia podmiotu wykonującego działalność leczniczą (Dz.U. z 2012 r. poz. 739);</v>
      </c>
      <c r="G113" s="8" t="s">
        <v>15</v>
      </c>
      <c r="H113" s="13" t="s">
        <v>0</v>
      </c>
      <c r="I113" s="13" t="s">
        <v>0</v>
      </c>
      <c r="J113" s="8" t="s">
        <v>0</v>
      </c>
      <c r="K113" s="21">
        <f>IF(I113=P113,V113,IF(I113=Q113,W113,IF(I113=R113,X113,IF(I113=S113,Y113,IF(I113=" "," ",)))))</f>
        <v>0</v>
      </c>
      <c r="P113" s="350" t="s">
        <v>318</v>
      </c>
      <c r="Q113" s="350" t="s">
        <v>319</v>
      </c>
      <c r="R113" s="350" t="s">
        <v>320</v>
      </c>
      <c r="S113" s="350" t="s">
        <v>321</v>
      </c>
      <c r="V113" s="350" t="s">
        <v>322</v>
      </c>
      <c r="W113" s="350" t="s">
        <v>323</v>
      </c>
      <c r="X113" s="350" t="s">
        <v>324</v>
      </c>
      <c r="Y113" s="350" t="s">
        <v>325</v>
      </c>
    </row>
    <row r="114" ht="13.5" thickTop="1"/>
    <row r="115" spans="1:11" ht="12.75">
      <c r="A115" s="333" t="s">
        <v>103</v>
      </c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</row>
    <row r="116" spans="1:11" ht="51.75" thickBot="1">
      <c r="A116" s="335" t="s">
        <v>2</v>
      </c>
      <c r="B116" s="336" t="s">
        <v>3</v>
      </c>
      <c r="C116" s="337"/>
      <c r="D116" s="338" t="s">
        <v>4</v>
      </c>
      <c r="E116" s="338" t="s">
        <v>5</v>
      </c>
      <c r="F116" s="338" t="s">
        <v>6</v>
      </c>
      <c r="G116" s="338" t="s">
        <v>7</v>
      </c>
      <c r="H116" s="338" t="s">
        <v>27</v>
      </c>
      <c r="I116" s="338" t="s">
        <v>9</v>
      </c>
      <c r="J116" s="338" t="s">
        <v>10</v>
      </c>
      <c r="K116" s="339" t="s">
        <v>11</v>
      </c>
    </row>
    <row r="117" spans="1:11" ht="14.25" thickBot="1" thickTop="1">
      <c r="A117" s="340"/>
      <c r="B117" s="341"/>
      <c r="C117" s="342"/>
      <c r="D117" s="343">
        <v>1</v>
      </c>
      <c r="E117" s="343">
        <v>2</v>
      </c>
      <c r="F117" s="343">
        <v>3</v>
      </c>
      <c r="G117" s="343">
        <v>4</v>
      </c>
      <c r="H117" s="343">
        <v>5</v>
      </c>
      <c r="I117" s="343">
        <v>6</v>
      </c>
      <c r="J117" s="343">
        <v>7</v>
      </c>
      <c r="K117" s="344">
        <v>8</v>
      </c>
    </row>
    <row r="118" spans="1:25" ht="103.5" thickBot="1" thickTop="1">
      <c r="A118" s="358" t="s">
        <v>104</v>
      </c>
      <c r="B118" s="19" t="s">
        <v>105</v>
      </c>
      <c r="C118" s="359">
        <v>1</v>
      </c>
      <c r="D118" s="13"/>
      <c r="E118" s="19" t="s">
        <v>0</v>
      </c>
      <c r="F118" s="19" t="str">
        <f>"§37 "&amp;prawo!B5</f>
        <v>§37 rozporządzenia Ministra Zdrowia z dnia 26 czerwca 2012 r. w sprawie szczegółowych wymagań, jakim powinny odpowiadać pomieszczenia i urządzenia podmiotu wykonującego działalność leczniczą (Dz.U. z 2012 r. poz. 739);</v>
      </c>
      <c r="G118" s="19" t="s">
        <v>15</v>
      </c>
      <c r="H118" s="13" t="s">
        <v>0</v>
      </c>
      <c r="I118" s="19" t="s">
        <v>0</v>
      </c>
      <c r="J118" s="19" t="s">
        <v>0</v>
      </c>
      <c r="K118" s="21">
        <f>IF(I118=P118,V118,IF(I118=Q118,W118,IF(I118=R118,X118,IF(I118=S118,Y118,IF(I118=" "," ",)))))</f>
        <v>0</v>
      </c>
      <c r="P118" s="350" t="s">
        <v>318</v>
      </c>
      <c r="Q118" s="350" t="s">
        <v>319</v>
      </c>
      <c r="R118" s="350" t="s">
        <v>320</v>
      </c>
      <c r="S118" s="350" t="s">
        <v>321</v>
      </c>
      <c r="V118" s="350" t="s">
        <v>322</v>
      </c>
      <c r="W118" s="350" t="s">
        <v>323</v>
      </c>
      <c r="X118" s="350" t="s">
        <v>324</v>
      </c>
      <c r="Y118" s="350" t="s">
        <v>325</v>
      </c>
    </row>
    <row r="119" ht="13.5" thickTop="1"/>
  </sheetData>
  <sheetProtection/>
  <mergeCells count="58">
    <mergeCell ref="A102:A103"/>
    <mergeCell ref="B102:C103"/>
    <mergeCell ref="A116:A117"/>
    <mergeCell ref="B116:C117"/>
    <mergeCell ref="A104:A107"/>
    <mergeCell ref="A109:K109"/>
    <mergeCell ref="A110:A111"/>
    <mergeCell ref="B110:C111"/>
    <mergeCell ref="A112:A113"/>
    <mergeCell ref="A115:K115"/>
    <mergeCell ref="A93:K93"/>
    <mergeCell ref="A94:A95"/>
    <mergeCell ref="B94:C95"/>
    <mergeCell ref="A99:K99"/>
    <mergeCell ref="A101:K101"/>
    <mergeCell ref="A83:K83"/>
    <mergeCell ref="A84:A85"/>
    <mergeCell ref="B84:C85"/>
    <mergeCell ref="A88:K88"/>
    <mergeCell ref="A89:A90"/>
    <mergeCell ref="B89:C90"/>
    <mergeCell ref="A71:A74"/>
    <mergeCell ref="A75:A76"/>
    <mergeCell ref="A78:K78"/>
    <mergeCell ref="A79:A80"/>
    <mergeCell ref="B79:C80"/>
    <mergeCell ref="A58:A59"/>
    <mergeCell ref="B58:C59"/>
    <mergeCell ref="A61:A65"/>
    <mergeCell ref="A67:K67"/>
    <mergeCell ref="A68:A69"/>
    <mergeCell ref="B68:C69"/>
    <mergeCell ref="A51:K51"/>
    <mergeCell ref="A52:A53"/>
    <mergeCell ref="B52:C53"/>
    <mergeCell ref="A54:A55"/>
    <mergeCell ref="A57:K57"/>
    <mergeCell ref="A39:A42"/>
    <mergeCell ref="A43:A44"/>
    <mergeCell ref="A46:K46"/>
    <mergeCell ref="A47:A48"/>
    <mergeCell ref="B47:C48"/>
    <mergeCell ref="A28:K28"/>
    <mergeCell ref="A29:A30"/>
    <mergeCell ref="B29:C30"/>
    <mergeCell ref="A32:A33"/>
    <mergeCell ref="A34:A37"/>
    <mergeCell ref="A19:A20"/>
    <mergeCell ref="B19:C20"/>
    <mergeCell ref="A23:K23"/>
    <mergeCell ref="A24:A25"/>
    <mergeCell ref="B24:C25"/>
    <mergeCell ref="A16:K16"/>
    <mergeCell ref="A18:K18"/>
    <mergeCell ref="A1:K3"/>
    <mergeCell ref="A4:K4"/>
    <mergeCell ref="A5:A6"/>
    <mergeCell ref="B5:C6"/>
  </mergeCells>
  <dataValidations count="16">
    <dataValidation type="list" allowBlank="1" showInputMessage="1" showErrorMessage="1" sqref="D7:D15 D21 D26 D31:D44 D49 D54:D55 D60:D65 D70:D76 D81 D86 D91 D96:D98 D104:D107 D112:D113 D118">
      <formula1>$P$1:$P$3</formula1>
    </dataValidation>
    <dataValidation type="list" allowBlank="1" showInputMessage="1" showErrorMessage="1" sqref="H7:H15 H21 H26 H31:H44 H49 H54:H55 H60:H65 H70:H76 H81 H86 H91 H96:H98 H104:H107 H112:H113 H118">
      <formula1>$P$1:$P$2</formula1>
    </dataValidation>
    <dataValidation type="list" allowBlank="1" showInputMessage="1" showErrorMessage="1" sqref="I7:I15">
      <formula1>$P$7:$S$7</formula1>
    </dataValidation>
    <dataValidation type="list" allowBlank="1" showInputMessage="1" showErrorMessage="1" sqref="I21">
      <formula1>$P$21:$S$21</formula1>
    </dataValidation>
    <dataValidation type="list" allowBlank="1" showInputMessage="1" showErrorMessage="1" sqref="I26">
      <formula1>$P$26:$S$26</formula1>
    </dataValidation>
    <dataValidation type="list" allowBlank="1" showInputMessage="1" showErrorMessage="1" sqref="I31:I41">
      <formula1>$P$31:$S$31</formula1>
    </dataValidation>
    <dataValidation type="list" allowBlank="1" showInputMessage="1" showErrorMessage="1" sqref="I42">
      <formula1>$P$42:$S$42</formula1>
    </dataValidation>
    <dataValidation type="list" allowBlank="1" showInputMessage="1" showErrorMessage="1" sqref="I43:I44">
      <formula1>$P$43:$R$43</formula1>
    </dataValidation>
    <dataValidation type="list" allowBlank="1" showInputMessage="1" showErrorMessage="1" sqref="I49 I54:I55 I60:I65 I70:I74">
      <formula1>$P$49:$S$49</formula1>
    </dataValidation>
    <dataValidation type="list" allowBlank="1" showInputMessage="1" showErrorMessage="1" sqref="I75:I76">
      <formula1>$P$75:$R$75</formula1>
    </dataValidation>
    <dataValidation type="list" allowBlank="1" showInputMessage="1" showErrorMessage="1" sqref="I81 I86 I91">
      <formula1>$P$81:$S$81</formula1>
    </dataValidation>
    <dataValidation type="list" allowBlank="1" showInputMessage="1" showErrorMessage="1" sqref="I96:I98">
      <formula1>$P$96:$Q$96</formula1>
    </dataValidation>
    <dataValidation type="list" allowBlank="1" showInputMessage="1" showErrorMessage="1" sqref="I104:I106">
      <formula1>$P$104:$S$104</formula1>
    </dataValidation>
    <dataValidation type="list" allowBlank="1" showInputMessage="1" showErrorMessage="1" sqref="I107">
      <formula1>$P$107:$Q$107</formula1>
    </dataValidation>
    <dataValidation type="list" allowBlank="1" showInputMessage="1" showErrorMessage="1" sqref="I112:I113">
      <formula1>$P$112:$S$112</formula1>
    </dataValidation>
    <dataValidation type="list" allowBlank="1" showInputMessage="1" showErrorMessage="1" sqref="I118">
      <formula1>$P$118:$S$118</formula1>
    </dataValidation>
  </dataValidations>
  <printOptions/>
  <pageMargins left="0.7" right="0.2" top="0.2" bottom="0.2" header="0.5" footer="0.5"/>
  <pageSetup horizontalDpi="300" verticalDpi="300" orientation="portrait" scale="41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zoomScalePageLayoutView="0" workbookViewId="0" topLeftCell="A1">
      <selection activeCell="F10" sqref="F10"/>
    </sheetView>
  </sheetViews>
  <sheetFormatPr defaultColWidth="9.140625" defaultRowHeight="49.5" customHeight="1"/>
  <cols>
    <col min="1" max="1" width="22.28125" style="0" customWidth="1"/>
    <col min="2" max="2" width="55.57421875" style="0" customWidth="1"/>
    <col min="3" max="3" width="3.28125" style="0" customWidth="1"/>
    <col min="4" max="4" width="23.57421875" style="0" customWidth="1"/>
    <col min="5" max="5" width="22.7109375" style="0" customWidth="1"/>
    <col min="6" max="6" width="96.140625" style="0" bestFit="1" customWidth="1"/>
    <col min="7" max="7" width="17.140625" style="0" customWidth="1"/>
    <col min="8" max="8" width="18.28125" style="0" customWidth="1"/>
    <col min="9" max="9" width="18.00390625" style="0" customWidth="1"/>
    <col min="10" max="10" width="20.7109375" style="0" customWidth="1"/>
    <col min="11" max="11" width="21.7109375" style="0" customWidth="1"/>
    <col min="15" max="26" width="0" style="0" hidden="1" customWidth="1"/>
  </cols>
  <sheetData>
    <row r="1" spans="1:16" ht="49.5" customHeight="1">
      <c r="A1" s="318" t="s">
        <v>340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P1" s="22" t="s">
        <v>316</v>
      </c>
    </row>
    <row r="2" spans="1:16" ht="49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P2" s="22" t="s">
        <v>317</v>
      </c>
    </row>
    <row r="3" spans="1:16" ht="49.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P3" s="20" t="s">
        <v>287</v>
      </c>
    </row>
    <row r="4" spans="1:11" ht="49.5" customHeight="1">
      <c r="A4" s="316" t="s">
        <v>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49.5" customHeight="1" thickBot="1">
      <c r="A5" s="320" t="s">
        <v>2</v>
      </c>
      <c r="B5" s="322" t="s">
        <v>3</v>
      </c>
      <c r="C5" s="323"/>
      <c r="D5" s="309" t="s">
        <v>4</v>
      </c>
      <c r="E5" s="309" t="s">
        <v>5</v>
      </c>
      <c r="F5" s="309" t="s">
        <v>6</v>
      </c>
      <c r="G5" s="309" t="s">
        <v>7</v>
      </c>
      <c r="H5" s="309" t="s">
        <v>8</v>
      </c>
      <c r="I5" s="309" t="s">
        <v>9</v>
      </c>
      <c r="J5" s="309" t="s">
        <v>10</v>
      </c>
      <c r="K5" s="310" t="s">
        <v>11</v>
      </c>
    </row>
    <row r="6" spans="1:25" ht="49.5" customHeight="1" thickBot="1" thickTop="1">
      <c r="A6" s="321"/>
      <c r="B6" s="324"/>
      <c r="C6" s="325"/>
      <c r="D6" s="311">
        <v>1</v>
      </c>
      <c r="E6" s="311">
        <v>2</v>
      </c>
      <c r="F6" s="311">
        <v>3</v>
      </c>
      <c r="G6" s="311">
        <v>4</v>
      </c>
      <c r="H6" s="311">
        <v>5</v>
      </c>
      <c r="I6" s="311">
        <v>6</v>
      </c>
      <c r="J6" s="311">
        <v>7</v>
      </c>
      <c r="K6" s="312">
        <v>8</v>
      </c>
      <c r="P6" s="23">
        <v>1</v>
      </c>
      <c r="Q6" s="23">
        <v>2</v>
      </c>
      <c r="R6" s="23">
        <v>3</v>
      </c>
      <c r="S6" s="23">
        <v>4</v>
      </c>
      <c r="T6" s="24"/>
      <c r="U6" s="24"/>
      <c r="V6" s="23">
        <v>1</v>
      </c>
      <c r="W6" s="23">
        <v>2</v>
      </c>
      <c r="X6" s="23">
        <v>3</v>
      </c>
      <c r="Y6" s="25">
        <v>4</v>
      </c>
    </row>
    <row r="7" spans="1:25" ht="49.5" customHeight="1" thickBot="1" thickTop="1">
      <c r="A7" s="11" t="s">
        <v>12</v>
      </c>
      <c r="B7" s="15" t="s">
        <v>13</v>
      </c>
      <c r="C7" s="4">
        <v>1</v>
      </c>
      <c r="D7" s="326"/>
      <c r="E7" s="13" t="s">
        <v>0</v>
      </c>
      <c r="F7" s="13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7" s="13" t="s">
        <v>15</v>
      </c>
      <c r="H7" s="326" t="s">
        <v>0</v>
      </c>
      <c r="I7" s="13"/>
      <c r="J7" s="13" t="s">
        <v>0</v>
      </c>
      <c r="K7" s="21">
        <f>IF(I7=P7,V7,IF(I7=Q7,W7,IF(I7=R7,X7,IF(I7=S7,Y7,IF(I7=" "," ",)))))</f>
        <v>0</v>
      </c>
      <c r="P7" s="27" t="s">
        <v>318</v>
      </c>
      <c r="Q7" s="27" t="s">
        <v>319</v>
      </c>
      <c r="R7" s="27" t="s">
        <v>320</v>
      </c>
      <c r="S7" s="27" t="s">
        <v>321</v>
      </c>
      <c r="T7" s="26"/>
      <c r="U7" s="26"/>
      <c r="V7" s="27" t="s">
        <v>322</v>
      </c>
      <c r="W7" s="27" t="s">
        <v>323</v>
      </c>
      <c r="X7" s="27" t="s">
        <v>324</v>
      </c>
      <c r="Y7" s="27" t="s">
        <v>325</v>
      </c>
    </row>
    <row r="8" spans="1:25" ht="49.5" customHeight="1" thickBot="1" thickTop="1">
      <c r="A8" s="5" t="s">
        <v>0</v>
      </c>
      <c r="B8" s="2" t="s">
        <v>16</v>
      </c>
      <c r="C8" s="3">
        <v>2</v>
      </c>
      <c r="D8" s="13"/>
      <c r="E8" s="1" t="s">
        <v>0</v>
      </c>
      <c r="F8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8" s="1" t="s">
        <v>15</v>
      </c>
      <c r="H8" s="13" t="s">
        <v>0</v>
      </c>
      <c r="I8" s="13" t="s">
        <v>0</v>
      </c>
      <c r="J8" s="1" t="s">
        <v>0</v>
      </c>
      <c r="K8" s="21">
        <f aca="true" t="shared" si="0" ref="K8:K15">IF(I8=P8,V8,IF(I8=Q8,W8,IF(I8=R8,X8,IF(I8=S8,Y8,IF(I8=" "," ",)))))</f>
        <v>0</v>
      </c>
      <c r="P8" s="29" t="s">
        <v>318</v>
      </c>
      <c r="Q8" s="29" t="s">
        <v>319</v>
      </c>
      <c r="R8" s="29" t="s">
        <v>320</v>
      </c>
      <c r="S8" s="29" t="s">
        <v>321</v>
      </c>
      <c r="T8" s="28"/>
      <c r="U8" s="28"/>
      <c r="V8" s="29" t="s">
        <v>322</v>
      </c>
      <c r="W8" s="29" t="s">
        <v>323</v>
      </c>
      <c r="X8" s="29" t="s">
        <v>324</v>
      </c>
      <c r="Y8" s="29" t="s">
        <v>325</v>
      </c>
    </row>
    <row r="9" spans="1:25" ht="49.5" customHeight="1" thickBot="1" thickTop="1">
      <c r="A9" s="5" t="s">
        <v>0</v>
      </c>
      <c r="B9" s="2" t="s">
        <v>17</v>
      </c>
      <c r="C9" s="3">
        <v>3</v>
      </c>
      <c r="D9" s="13"/>
      <c r="E9" s="1" t="s">
        <v>0</v>
      </c>
      <c r="F9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13" t="s">
        <v>0</v>
      </c>
      <c r="I9" s="13" t="s">
        <v>0</v>
      </c>
      <c r="J9" s="1" t="s">
        <v>0</v>
      </c>
      <c r="K9" s="21">
        <f>IF(I9=P9,V9,IF(I9=Q9,W9,IF(I9=R9,X9,IF(I9=S9,Y9,IF(I9=" "," ",)))))</f>
        <v>0</v>
      </c>
      <c r="P9" s="31" t="s">
        <v>318</v>
      </c>
      <c r="Q9" s="31" t="s">
        <v>319</v>
      </c>
      <c r="R9" s="31" t="s">
        <v>320</v>
      </c>
      <c r="S9" s="31" t="s">
        <v>321</v>
      </c>
      <c r="T9" s="30"/>
      <c r="U9" s="30"/>
      <c r="V9" s="31" t="s">
        <v>322</v>
      </c>
      <c r="W9" s="31" t="s">
        <v>323</v>
      </c>
      <c r="X9" s="31" t="s">
        <v>324</v>
      </c>
      <c r="Y9" s="31" t="s">
        <v>325</v>
      </c>
    </row>
    <row r="10" spans="1:25" ht="49.5" customHeight="1" thickBot="1" thickTop="1">
      <c r="A10" s="5" t="s">
        <v>0</v>
      </c>
      <c r="B10" s="2" t="s">
        <v>18</v>
      </c>
      <c r="C10" s="3">
        <v>4</v>
      </c>
      <c r="D10" s="13"/>
      <c r="E10" s="1" t="s">
        <v>0</v>
      </c>
      <c r="F10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13" t="s">
        <v>0</v>
      </c>
      <c r="I10" s="13" t="s">
        <v>0</v>
      </c>
      <c r="J10" s="1" t="s">
        <v>0</v>
      </c>
      <c r="K10" s="21">
        <f t="shared" si="0"/>
        <v>0</v>
      </c>
      <c r="P10" s="33" t="s">
        <v>318</v>
      </c>
      <c r="Q10" s="33" t="s">
        <v>319</v>
      </c>
      <c r="R10" s="33" t="s">
        <v>320</v>
      </c>
      <c r="S10" s="33" t="s">
        <v>321</v>
      </c>
      <c r="T10" s="32"/>
      <c r="U10" s="32"/>
      <c r="V10" s="33" t="s">
        <v>322</v>
      </c>
      <c r="W10" s="33" t="s">
        <v>323</v>
      </c>
      <c r="X10" s="33" t="s">
        <v>324</v>
      </c>
      <c r="Y10" s="33" t="s">
        <v>325</v>
      </c>
    </row>
    <row r="11" spans="1:25" ht="49.5" customHeight="1" thickBot="1" thickTop="1">
      <c r="A11" s="5" t="s">
        <v>0</v>
      </c>
      <c r="B11" s="2" t="s">
        <v>19</v>
      </c>
      <c r="C11" s="3">
        <v>5</v>
      </c>
      <c r="D11" s="13"/>
      <c r="E11" s="1" t="s">
        <v>0</v>
      </c>
      <c r="F11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13" t="s">
        <v>0</v>
      </c>
      <c r="I11" s="13" t="s">
        <v>0</v>
      </c>
      <c r="J11" s="1" t="s">
        <v>0</v>
      </c>
      <c r="K11" s="21">
        <f t="shared" si="0"/>
        <v>0</v>
      </c>
      <c r="P11" s="35" t="s">
        <v>318</v>
      </c>
      <c r="Q11" s="35" t="s">
        <v>319</v>
      </c>
      <c r="R11" s="35" t="s">
        <v>320</v>
      </c>
      <c r="S11" s="35" t="s">
        <v>321</v>
      </c>
      <c r="T11" s="34"/>
      <c r="U11" s="34"/>
      <c r="V11" s="35" t="s">
        <v>322</v>
      </c>
      <c r="W11" s="35" t="s">
        <v>323</v>
      </c>
      <c r="X11" s="35" t="s">
        <v>324</v>
      </c>
      <c r="Y11" s="35" t="s">
        <v>325</v>
      </c>
    </row>
    <row r="12" spans="1:25" ht="49.5" customHeight="1" thickBot="1" thickTop="1">
      <c r="A12" s="5" t="s">
        <v>0</v>
      </c>
      <c r="B12" s="2" t="s">
        <v>20</v>
      </c>
      <c r="C12" s="3">
        <v>6</v>
      </c>
      <c r="D12" s="13"/>
      <c r="E12" s="1" t="s">
        <v>0</v>
      </c>
      <c r="F12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13" t="s">
        <v>0</v>
      </c>
      <c r="I12" s="13" t="s">
        <v>0</v>
      </c>
      <c r="J12" s="1" t="s">
        <v>0</v>
      </c>
      <c r="K12" s="21">
        <f t="shared" si="0"/>
        <v>0</v>
      </c>
      <c r="P12" s="37" t="s">
        <v>318</v>
      </c>
      <c r="Q12" s="37" t="s">
        <v>319</v>
      </c>
      <c r="R12" s="37" t="s">
        <v>320</v>
      </c>
      <c r="S12" s="37" t="s">
        <v>321</v>
      </c>
      <c r="T12" s="36"/>
      <c r="U12" s="36"/>
      <c r="V12" s="37" t="s">
        <v>322</v>
      </c>
      <c r="W12" s="37" t="s">
        <v>323</v>
      </c>
      <c r="X12" s="37" t="s">
        <v>324</v>
      </c>
      <c r="Y12" s="37" t="s">
        <v>325</v>
      </c>
    </row>
    <row r="13" spans="1:25" ht="49.5" customHeight="1" thickBot="1" thickTop="1">
      <c r="A13" s="5" t="s">
        <v>21</v>
      </c>
      <c r="B13" s="2" t="s">
        <v>22</v>
      </c>
      <c r="C13" s="3">
        <v>7</v>
      </c>
      <c r="D13" s="13"/>
      <c r="E13" s="1" t="s">
        <v>0</v>
      </c>
      <c r="F13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3" s="1" t="s">
        <v>15</v>
      </c>
      <c r="H13" s="13" t="s">
        <v>0</v>
      </c>
      <c r="I13" s="13" t="s">
        <v>0</v>
      </c>
      <c r="J13" s="1" t="s">
        <v>0</v>
      </c>
      <c r="K13" s="21">
        <f t="shared" si="0"/>
        <v>0</v>
      </c>
      <c r="P13" s="39" t="s">
        <v>318</v>
      </c>
      <c r="Q13" s="39" t="s">
        <v>319</v>
      </c>
      <c r="R13" s="39" t="s">
        <v>320</v>
      </c>
      <c r="S13" s="39" t="s">
        <v>321</v>
      </c>
      <c r="T13" s="38"/>
      <c r="U13" s="38"/>
      <c r="V13" s="39" t="s">
        <v>322</v>
      </c>
      <c r="W13" s="39" t="s">
        <v>323</v>
      </c>
      <c r="X13" s="39" t="s">
        <v>324</v>
      </c>
      <c r="Y13" s="39" t="s">
        <v>325</v>
      </c>
    </row>
    <row r="14" spans="1:25" ht="49.5" customHeight="1" thickBot="1" thickTop="1">
      <c r="A14" s="5" t="s">
        <v>0</v>
      </c>
      <c r="B14" s="2" t="s">
        <v>23</v>
      </c>
      <c r="C14" s="3">
        <v>8</v>
      </c>
      <c r="D14" s="13"/>
      <c r="E14" s="1" t="s">
        <v>0</v>
      </c>
      <c r="F14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4" s="1" t="s">
        <v>15</v>
      </c>
      <c r="H14" s="13" t="s">
        <v>0</v>
      </c>
      <c r="I14" s="13" t="s">
        <v>0</v>
      </c>
      <c r="J14" s="1" t="s">
        <v>0</v>
      </c>
      <c r="K14" s="21">
        <f t="shared" si="0"/>
        <v>0</v>
      </c>
      <c r="P14" s="41" t="s">
        <v>318</v>
      </c>
      <c r="Q14" s="41" t="s">
        <v>319</v>
      </c>
      <c r="R14" s="41" t="s">
        <v>320</v>
      </c>
      <c r="S14" s="41" t="s">
        <v>321</v>
      </c>
      <c r="T14" s="40"/>
      <c r="U14" s="40"/>
      <c r="V14" s="41" t="s">
        <v>322</v>
      </c>
      <c r="W14" s="41" t="s">
        <v>323</v>
      </c>
      <c r="X14" s="41" t="s">
        <v>324</v>
      </c>
      <c r="Y14" s="41" t="s">
        <v>325</v>
      </c>
    </row>
    <row r="15" spans="1:25" ht="49.5" customHeight="1" thickBot="1" thickTop="1">
      <c r="A15" s="6" t="s">
        <v>0</v>
      </c>
      <c r="B15" s="14" t="s">
        <v>24</v>
      </c>
      <c r="C15" s="7">
        <v>9</v>
      </c>
      <c r="D15" s="13"/>
      <c r="E15" s="8" t="s">
        <v>0</v>
      </c>
      <c r="F15" s="8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5" s="8" t="s">
        <v>15</v>
      </c>
      <c r="H15" s="13" t="s">
        <v>0</v>
      </c>
      <c r="I15" s="13" t="s">
        <v>0</v>
      </c>
      <c r="J15" s="8" t="s">
        <v>0</v>
      </c>
      <c r="K15" s="21">
        <f t="shared" si="0"/>
        <v>0</v>
      </c>
      <c r="P15" s="43" t="s">
        <v>318</v>
      </c>
      <c r="Q15" s="43" t="s">
        <v>319</v>
      </c>
      <c r="R15" s="43" t="s">
        <v>320</v>
      </c>
      <c r="S15" s="43" t="s">
        <v>321</v>
      </c>
      <c r="T15" s="42"/>
      <c r="U15" s="42"/>
      <c r="V15" s="43" t="s">
        <v>322</v>
      </c>
      <c r="W15" s="43" t="s">
        <v>323</v>
      </c>
      <c r="X15" s="43" t="s">
        <v>324</v>
      </c>
      <c r="Y15" s="43" t="s">
        <v>325</v>
      </c>
    </row>
    <row r="16" spans="1:11" ht="49.5" customHeight="1" thickTop="1">
      <c r="A16" s="314" t="s">
        <v>25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8" spans="1:11" ht="49.5" customHeight="1">
      <c r="A18" s="316" t="s">
        <v>106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ht="49.5" customHeight="1" thickBot="1">
      <c r="A19" s="320" t="s">
        <v>2</v>
      </c>
      <c r="B19" s="322" t="s">
        <v>3</v>
      </c>
      <c r="C19" s="323"/>
      <c r="D19" s="309" t="s">
        <v>4</v>
      </c>
      <c r="E19" s="309" t="s">
        <v>5</v>
      </c>
      <c r="F19" s="309" t="s">
        <v>6</v>
      </c>
      <c r="G19" s="309" t="s">
        <v>7</v>
      </c>
      <c r="H19" s="309" t="s">
        <v>27</v>
      </c>
      <c r="I19" s="309" t="s">
        <v>9</v>
      </c>
      <c r="J19" s="309" t="s">
        <v>10</v>
      </c>
      <c r="K19" s="310" t="s">
        <v>11</v>
      </c>
    </row>
    <row r="20" spans="1:11" ht="49.5" customHeight="1" thickBot="1" thickTop="1">
      <c r="A20" s="321"/>
      <c r="B20" s="324"/>
      <c r="C20" s="325"/>
      <c r="D20" s="311">
        <v>1</v>
      </c>
      <c r="E20" s="311">
        <v>2</v>
      </c>
      <c r="F20" s="311">
        <v>3</v>
      </c>
      <c r="G20" s="311">
        <v>4</v>
      </c>
      <c r="H20" s="311">
        <v>5</v>
      </c>
      <c r="I20" s="311">
        <v>6</v>
      </c>
      <c r="J20" s="311">
        <v>7</v>
      </c>
      <c r="K20" s="312">
        <v>8</v>
      </c>
    </row>
    <row r="21" spans="1:25" ht="49.5" customHeight="1" thickBot="1" thickTop="1">
      <c r="A21" s="11" t="s">
        <v>107</v>
      </c>
      <c r="B21" s="15" t="s">
        <v>108</v>
      </c>
      <c r="C21" s="4">
        <v>1</v>
      </c>
      <c r="D21" s="13"/>
      <c r="E21" s="13" t="s">
        <v>0</v>
      </c>
      <c r="F21" s="13" t="str">
        <f>"załącznik nr 1 część I ust. 2 pkt 1, załącznik nr 3 ust. 2 "&amp;prawo!B5</f>
        <v>załącznik nr 1 część I ust. 2 pkt 1, załącznik nr 3 ust. 2 rozporządzenia Ministra Zdrowia z dnia 26 czerwca 2012 r. w sprawie szczegółowych wymagań, jakim powinny odpowiadać pomieszczenia i urządzenia podmiotu wykonującego działalność leczniczą (Dz.U. z 2012 r. poz. 739);</v>
      </c>
      <c r="G21" s="13" t="s">
        <v>15</v>
      </c>
      <c r="H21" s="13" t="s">
        <v>0</v>
      </c>
      <c r="I21" s="13" t="s">
        <v>0</v>
      </c>
      <c r="J21" s="13" t="s">
        <v>0</v>
      </c>
      <c r="K21" s="21">
        <f>IF(I21=P21,V21,IF(I21=Q21,W21,IF(I21=R21,X21,IF(I21=S21,Y21,IF(I21=" "," ",)))))</f>
        <v>0</v>
      </c>
      <c r="P21" s="45" t="s">
        <v>318</v>
      </c>
      <c r="Q21" s="45" t="s">
        <v>319</v>
      </c>
      <c r="R21" s="45" t="s">
        <v>320</v>
      </c>
      <c r="S21" s="45" t="s">
        <v>321</v>
      </c>
      <c r="T21" s="44"/>
      <c r="U21" s="44"/>
      <c r="V21" s="45" t="s">
        <v>322</v>
      </c>
      <c r="W21" s="45" t="s">
        <v>323</v>
      </c>
      <c r="X21" s="45" t="s">
        <v>324</v>
      </c>
      <c r="Y21" s="45" t="s">
        <v>325</v>
      </c>
    </row>
    <row r="22" spans="1:25" ht="49.5" customHeight="1" thickBot="1" thickTop="1">
      <c r="A22" s="5" t="s">
        <v>109</v>
      </c>
      <c r="B22" s="2" t="s">
        <v>110</v>
      </c>
      <c r="C22" s="3">
        <v>2</v>
      </c>
      <c r="D22" s="13"/>
      <c r="E22" s="1" t="s">
        <v>0</v>
      </c>
      <c r="F22" s="1" t="str">
        <f>"załącznik nr 1 część I ust. 2 pkt 2 , załącznik nr 3 ust. 2 "&amp;prawo!B5</f>
        <v>załącznik nr 1 część I ust. 2 pkt 2 , załącznik nr 3 ust. 2 rozporządzenia Ministra Zdrowia z dnia 26 czerwca 2012 r. w sprawie szczegółowych wymagań, jakim powinny odpowiadać pomieszczenia i urządzenia podmiotu wykonującego działalność leczniczą (Dz.U. z 2012 r. poz. 739);</v>
      </c>
      <c r="G22" s="1" t="s">
        <v>15</v>
      </c>
      <c r="H22" s="13" t="s">
        <v>0</v>
      </c>
      <c r="I22" s="13" t="s">
        <v>0</v>
      </c>
      <c r="J22" s="1" t="s">
        <v>0</v>
      </c>
      <c r="K22" s="21">
        <f>IF(I22=P22,V22,IF(I22=Q22,W22,IF(I22=R22,X22,IF(I22=S22,Y22,IF(I22=" "," ",)))))</f>
        <v>0</v>
      </c>
      <c r="P22" s="47" t="s">
        <v>318</v>
      </c>
      <c r="Q22" s="47" t="s">
        <v>319</v>
      </c>
      <c r="R22" s="47" t="s">
        <v>320</v>
      </c>
      <c r="S22" s="47" t="s">
        <v>321</v>
      </c>
      <c r="T22" s="46"/>
      <c r="U22" s="46"/>
      <c r="V22" s="47" t="s">
        <v>322</v>
      </c>
      <c r="W22" s="47" t="s">
        <v>323</v>
      </c>
      <c r="X22" s="47" t="s">
        <v>324</v>
      </c>
      <c r="Y22" s="47" t="s">
        <v>325</v>
      </c>
    </row>
    <row r="23" spans="1:25" ht="49.5" customHeight="1" thickBot="1" thickTop="1">
      <c r="A23" s="5" t="s">
        <v>111</v>
      </c>
      <c r="B23" s="2" t="s">
        <v>112</v>
      </c>
      <c r="C23" s="3">
        <v>3</v>
      </c>
      <c r="D23" s="13"/>
      <c r="E23" s="1" t="s">
        <v>0</v>
      </c>
      <c r="F23" s="1" t="str">
        <f>"załącznik nr 1 część I ust. 2 pkt 3 , załącznik nr 3 ust. 2 "&amp;prawo!B5</f>
        <v>załącznik nr 1 część I ust. 2 pkt 3 , załącznik nr 3 ust. 2 rozporządzenia Ministra Zdrowia z dnia 26 czerwca 2012 r. w sprawie szczegółowych wymagań, jakim powinny odpowiadać pomieszczenia i urządzenia podmiotu wykonującego działalność leczniczą (Dz.U. z 2012 r. poz. 739);</v>
      </c>
      <c r="G23" s="1" t="s">
        <v>15</v>
      </c>
      <c r="H23" s="13" t="s">
        <v>0</v>
      </c>
      <c r="I23" s="13" t="s">
        <v>0</v>
      </c>
      <c r="J23" s="1" t="s">
        <v>0</v>
      </c>
      <c r="K23" s="21">
        <f>IF(I23=P23,V23,IF(I23=Q23,W23,IF(I23=R23,X23,IF(I23=S23,Y23,IF(I23=" "," ",)))))</f>
        <v>0</v>
      </c>
      <c r="P23" s="49" t="s">
        <v>318</v>
      </c>
      <c r="Q23" s="49" t="s">
        <v>319</v>
      </c>
      <c r="R23" s="49" t="s">
        <v>320</v>
      </c>
      <c r="S23" s="49" t="s">
        <v>321</v>
      </c>
      <c r="T23" s="48"/>
      <c r="U23" s="48"/>
      <c r="V23" s="49" t="s">
        <v>322</v>
      </c>
      <c r="W23" s="49" t="s">
        <v>323</v>
      </c>
      <c r="X23" s="49" t="s">
        <v>324</v>
      </c>
      <c r="Y23" s="49" t="s">
        <v>325</v>
      </c>
    </row>
    <row r="24" spans="1:25" ht="49.5" customHeight="1" thickBot="1" thickTop="1">
      <c r="A24" s="6" t="s">
        <v>113</v>
      </c>
      <c r="B24" s="14" t="s">
        <v>114</v>
      </c>
      <c r="C24" s="7">
        <v>4</v>
      </c>
      <c r="D24" s="13"/>
      <c r="E24" s="8" t="s">
        <v>0</v>
      </c>
      <c r="F24" s="8" t="str">
        <f>"załącznik nr 1 część I ust. 3 , załącznik nr 3 ust. 2 "&amp;prawo!B5</f>
        <v>załącznik nr 1 część I ust. 3 , załącznik nr 3 ust. 2 rozporządzenia Ministra Zdrowia z dnia 26 czerwca 2012 r. w sprawie szczegółowych wymagań, jakim powinny odpowiadać pomieszczenia i urządzenia podmiotu wykonującego działalność leczniczą (Dz.U. z 2012 r. poz. 739);</v>
      </c>
      <c r="G24" s="8" t="s">
        <v>15</v>
      </c>
      <c r="H24" s="13" t="s">
        <v>0</v>
      </c>
      <c r="I24" s="13" t="s">
        <v>0</v>
      </c>
      <c r="J24" s="8" t="s">
        <v>0</v>
      </c>
      <c r="K24" s="21">
        <f>IF(I24=P24,V24,IF(I24=Q24,W24,IF(I24=R24,X24,IF(I24=S24,Y24,IF(I24=" "," ",)))))</f>
        <v>0</v>
      </c>
      <c r="P24" s="51" t="s">
        <v>318</v>
      </c>
      <c r="Q24" s="51" t="s">
        <v>319</v>
      </c>
      <c r="R24" s="51" t="s">
        <v>320</v>
      </c>
      <c r="S24" s="51" t="s">
        <v>321</v>
      </c>
      <c r="T24" s="50"/>
      <c r="U24" s="50"/>
      <c r="V24" s="51" t="s">
        <v>322</v>
      </c>
      <c r="W24" s="51" t="s">
        <v>323</v>
      </c>
      <c r="X24" s="51" t="s">
        <v>324</v>
      </c>
      <c r="Y24" s="51" t="s">
        <v>325</v>
      </c>
    </row>
    <row r="25" spans="1:11" ht="49.5" customHeight="1" thickTop="1">
      <c r="A25" s="314" t="s">
        <v>115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</sheetData>
  <sheetProtection/>
  <mergeCells count="9">
    <mergeCell ref="A19:A20"/>
    <mergeCell ref="B19:C20"/>
    <mergeCell ref="A25:K25"/>
    <mergeCell ref="A16:K16"/>
    <mergeCell ref="A18:K18"/>
    <mergeCell ref="A1:K3"/>
    <mergeCell ref="A4:K4"/>
    <mergeCell ref="A5:A6"/>
    <mergeCell ref="B5:C6"/>
  </mergeCells>
  <dataValidations count="3">
    <dataValidation type="list" allowBlank="1" showInputMessage="1" showErrorMessage="1" sqref="D7:D15 D21:D24">
      <formula1>$P$1:$P$3</formula1>
    </dataValidation>
    <dataValidation type="list" allowBlank="1" showInputMessage="1" showErrorMessage="1" sqref="H7:H15 H21:H24">
      <formula1>$P$1:$P$2</formula1>
    </dataValidation>
    <dataValidation type="list" allowBlank="1" showInputMessage="1" showErrorMessage="1" sqref="I7:I15 I21:I24">
      <formula1>$P$7:$S$7</formula1>
    </dataValidation>
  </dataValidations>
  <printOptions/>
  <pageMargins left="0.7" right="0.2" top="0.2" bottom="0.2" header="0.5" footer="0.5"/>
  <pageSetup horizontalDpi="300" verticalDpi="300" orientation="portrait" scale="41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zoomScale="75" zoomScaleNormal="75" zoomScalePageLayoutView="0" workbookViewId="0" topLeftCell="A1">
      <selection activeCell="F7" sqref="F7"/>
    </sheetView>
  </sheetViews>
  <sheetFormatPr defaultColWidth="9.140625" defaultRowHeight="49.5" customHeight="1"/>
  <cols>
    <col min="1" max="1" width="22.28125" style="0" customWidth="1"/>
    <col min="2" max="2" width="55.57421875" style="0" customWidth="1"/>
    <col min="3" max="3" width="3.28125" style="0" customWidth="1"/>
    <col min="4" max="4" width="23.57421875" style="0" customWidth="1"/>
    <col min="5" max="5" width="22.7109375" style="0" customWidth="1"/>
    <col min="6" max="6" width="96.140625" style="0" bestFit="1" customWidth="1"/>
    <col min="7" max="7" width="17.140625" style="0" customWidth="1"/>
    <col min="8" max="8" width="18.28125" style="0" customWidth="1"/>
    <col min="9" max="9" width="18.00390625" style="0" customWidth="1"/>
    <col min="10" max="10" width="20.7109375" style="0" customWidth="1"/>
    <col min="11" max="11" width="21.7109375" style="0" customWidth="1"/>
    <col min="15" max="26" width="0" style="0" hidden="1" customWidth="1"/>
  </cols>
  <sheetData>
    <row r="1" spans="1:16" ht="49.5" customHeight="1">
      <c r="A1" s="318" t="s">
        <v>341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P1" s="52" t="s">
        <v>316</v>
      </c>
    </row>
    <row r="2" spans="1:16" ht="49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P2" s="52" t="s">
        <v>317</v>
      </c>
    </row>
    <row r="3" spans="1:16" ht="49.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P3" s="20" t="s">
        <v>287</v>
      </c>
    </row>
    <row r="4" spans="1:11" ht="49.5" customHeight="1">
      <c r="A4" s="316" t="s">
        <v>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49.5" customHeight="1" thickBot="1">
      <c r="A5" s="320" t="s">
        <v>2</v>
      </c>
      <c r="B5" s="322" t="s">
        <v>3</v>
      </c>
      <c r="C5" s="323"/>
      <c r="D5" s="309" t="s">
        <v>4</v>
      </c>
      <c r="E5" s="309" t="s">
        <v>5</v>
      </c>
      <c r="F5" s="309" t="s">
        <v>6</v>
      </c>
      <c r="G5" s="309" t="s">
        <v>7</v>
      </c>
      <c r="H5" s="309" t="s">
        <v>8</v>
      </c>
      <c r="I5" s="309" t="s">
        <v>9</v>
      </c>
      <c r="J5" s="309" t="s">
        <v>10</v>
      </c>
      <c r="K5" s="310" t="s">
        <v>11</v>
      </c>
    </row>
    <row r="6" spans="1:25" ht="49.5" customHeight="1" thickBot="1" thickTop="1">
      <c r="A6" s="321"/>
      <c r="B6" s="324"/>
      <c r="C6" s="325"/>
      <c r="D6" s="311">
        <v>1</v>
      </c>
      <c r="E6" s="311">
        <v>2</v>
      </c>
      <c r="F6" s="311">
        <v>3</v>
      </c>
      <c r="G6" s="311">
        <v>4</v>
      </c>
      <c r="H6" s="311">
        <v>5</v>
      </c>
      <c r="I6" s="311">
        <v>6</v>
      </c>
      <c r="J6" s="311">
        <v>7</v>
      </c>
      <c r="K6" s="312">
        <v>8</v>
      </c>
      <c r="P6" s="53">
        <v>1</v>
      </c>
      <c r="Q6" s="53">
        <v>2</v>
      </c>
      <c r="R6" s="53">
        <v>3</v>
      </c>
      <c r="S6" s="53">
        <v>4</v>
      </c>
      <c r="T6" s="54"/>
      <c r="U6" s="54"/>
      <c r="V6" s="53">
        <v>1</v>
      </c>
      <c r="W6" s="53">
        <v>2</v>
      </c>
      <c r="X6" s="53">
        <v>3</v>
      </c>
      <c r="Y6" s="55">
        <v>4</v>
      </c>
    </row>
    <row r="7" spans="1:25" ht="49.5" customHeight="1" thickBot="1" thickTop="1">
      <c r="A7" s="11" t="s">
        <v>12</v>
      </c>
      <c r="B7" s="15" t="s">
        <v>13</v>
      </c>
      <c r="C7" s="4">
        <v>1</v>
      </c>
      <c r="D7" s="326"/>
      <c r="E7" s="13" t="s">
        <v>0</v>
      </c>
      <c r="F7" s="13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7" s="13" t="s">
        <v>15</v>
      </c>
      <c r="H7" s="326" t="s">
        <v>0</v>
      </c>
      <c r="I7" s="13" t="s">
        <v>319</v>
      </c>
      <c r="J7" s="13" t="s">
        <v>0</v>
      </c>
      <c r="K7" s="21" t="str">
        <f>IF(I7=P7,V7,IF(I7=Q7,W7,IF(I7=R7,X7,IF(I7=S7,Y7,IF(I7=" "," ",)))))</f>
        <v>2. Odstąpienie od wszczęcia postępowania.   </v>
      </c>
      <c r="P7" s="57" t="s">
        <v>318</v>
      </c>
      <c r="Q7" s="57" t="s">
        <v>319</v>
      </c>
      <c r="R7" s="57" t="s">
        <v>320</v>
      </c>
      <c r="S7" s="57" t="s">
        <v>321</v>
      </c>
      <c r="T7" s="56"/>
      <c r="U7" s="56"/>
      <c r="V7" s="57" t="s">
        <v>322</v>
      </c>
      <c r="W7" s="57" t="s">
        <v>323</v>
      </c>
      <c r="X7" s="57" t="s">
        <v>324</v>
      </c>
      <c r="Y7" s="57" t="s">
        <v>325</v>
      </c>
    </row>
    <row r="8" spans="1:25" ht="49.5" customHeight="1" thickBot="1" thickTop="1">
      <c r="A8" s="5" t="s">
        <v>0</v>
      </c>
      <c r="B8" s="2" t="s">
        <v>16</v>
      </c>
      <c r="C8" s="3">
        <v>2</v>
      </c>
      <c r="D8" s="13"/>
      <c r="E8" s="1" t="s">
        <v>0</v>
      </c>
      <c r="F8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8" s="1" t="s">
        <v>15</v>
      </c>
      <c r="H8" s="13" t="s">
        <v>0</v>
      </c>
      <c r="I8" s="13"/>
      <c r="J8" s="1" t="s">
        <v>0</v>
      </c>
      <c r="K8" s="21">
        <f aca="true" t="shared" si="0" ref="K8:K15">IF(I8=P8,V8,IF(I8=Q8,W8,IF(I8=R8,X8,IF(I8=S8,Y8,IF(I8=" "," ",)))))</f>
        <v>0</v>
      </c>
      <c r="P8" s="59" t="s">
        <v>318</v>
      </c>
      <c r="Q8" s="59" t="s">
        <v>319</v>
      </c>
      <c r="R8" s="59" t="s">
        <v>320</v>
      </c>
      <c r="S8" s="59" t="s">
        <v>321</v>
      </c>
      <c r="T8" s="58"/>
      <c r="U8" s="58"/>
      <c r="V8" s="59" t="s">
        <v>322</v>
      </c>
      <c r="W8" s="59" t="s">
        <v>323</v>
      </c>
      <c r="X8" s="59" t="s">
        <v>324</v>
      </c>
      <c r="Y8" s="59" t="s">
        <v>325</v>
      </c>
    </row>
    <row r="9" spans="1:25" ht="49.5" customHeight="1" thickBot="1" thickTop="1">
      <c r="A9" s="5" t="s">
        <v>0</v>
      </c>
      <c r="B9" s="2" t="s">
        <v>17</v>
      </c>
      <c r="C9" s="3">
        <v>3</v>
      </c>
      <c r="D9" s="13"/>
      <c r="E9" s="1" t="s">
        <v>0</v>
      </c>
      <c r="F9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13" t="s">
        <v>0</v>
      </c>
      <c r="I9" s="13" t="s">
        <v>0</v>
      </c>
      <c r="J9" s="1" t="s">
        <v>0</v>
      </c>
      <c r="K9" s="21">
        <f>IF(I9=P9,V9,IF(I9=Q9,W9,IF(I9=R9,X9,IF(I9=S9,Y9,IF(I9=" "," ",)))))</f>
        <v>0</v>
      </c>
      <c r="P9" s="61" t="s">
        <v>318</v>
      </c>
      <c r="Q9" s="61" t="s">
        <v>319</v>
      </c>
      <c r="R9" s="61" t="s">
        <v>320</v>
      </c>
      <c r="S9" s="61" t="s">
        <v>321</v>
      </c>
      <c r="T9" s="60"/>
      <c r="U9" s="60"/>
      <c r="V9" s="61" t="s">
        <v>322</v>
      </c>
      <c r="W9" s="61" t="s">
        <v>323</v>
      </c>
      <c r="X9" s="61" t="s">
        <v>324</v>
      </c>
      <c r="Y9" s="61" t="s">
        <v>325</v>
      </c>
    </row>
    <row r="10" spans="1:25" ht="49.5" customHeight="1" thickBot="1" thickTop="1">
      <c r="A10" s="5" t="s">
        <v>0</v>
      </c>
      <c r="B10" s="2" t="s">
        <v>18</v>
      </c>
      <c r="C10" s="3">
        <v>4</v>
      </c>
      <c r="D10" s="13"/>
      <c r="E10" s="1" t="s">
        <v>0</v>
      </c>
      <c r="F10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13" t="s">
        <v>0</v>
      </c>
      <c r="I10" s="13" t="s">
        <v>0</v>
      </c>
      <c r="J10" s="1" t="s">
        <v>0</v>
      </c>
      <c r="K10" s="21">
        <f t="shared" si="0"/>
        <v>0</v>
      </c>
      <c r="P10" s="63" t="s">
        <v>318</v>
      </c>
      <c r="Q10" s="63" t="s">
        <v>319</v>
      </c>
      <c r="R10" s="63" t="s">
        <v>320</v>
      </c>
      <c r="S10" s="63" t="s">
        <v>321</v>
      </c>
      <c r="T10" s="62"/>
      <c r="U10" s="62"/>
      <c r="V10" s="63" t="s">
        <v>322</v>
      </c>
      <c r="W10" s="63" t="s">
        <v>323</v>
      </c>
      <c r="X10" s="63" t="s">
        <v>324</v>
      </c>
      <c r="Y10" s="63" t="s">
        <v>325</v>
      </c>
    </row>
    <row r="11" spans="1:25" ht="49.5" customHeight="1" thickBot="1" thickTop="1">
      <c r="A11" s="5" t="s">
        <v>0</v>
      </c>
      <c r="B11" s="2" t="s">
        <v>19</v>
      </c>
      <c r="C11" s="3">
        <v>5</v>
      </c>
      <c r="D11" s="13"/>
      <c r="E11" s="1" t="s">
        <v>0</v>
      </c>
      <c r="F11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13" t="s">
        <v>0</v>
      </c>
      <c r="I11" s="13" t="s">
        <v>0</v>
      </c>
      <c r="J11" s="1" t="s">
        <v>0</v>
      </c>
      <c r="K11" s="21">
        <f t="shared" si="0"/>
        <v>0</v>
      </c>
      <c r="P11" s="65" t="s">
        <v>318</v>
      </c>
      <c r="Q11" s="65" t="s">
        <v>319</v>
      </c>
      <c r="R11" s="65" t="s">
        <v>320</v>
      </c>
      <c r="S11" s="65" t="s">
        <v>321</v>
      </c>
      <c r="T11" s="64"/>
      <c r="U11" s="64"/>
      <c r="V11" s="65" t="s">
        <v>322</v>
      </c>
      <c r="W11" s="65" t="s">
        <v>323</v>
      </c>
      <c r="X11" s="65" t="s">
        <v>324</v>
      </c>
      <c r="Y11" s="65" t="s">
        <v>325</v>
      </c>
    </row>
    <row r="12" spans="1:25" ht="49.5" customHeight="1" thickBot="1" thickTop="1">
      <c r="A12" s="5" t="s">
        <v>0</v>
      </c>
      <c r="B12" s="2" t="s">
        <v>20</v>
      </c>
      <c r="C12" s="3">
        <v>6</v>
      </c>
      <c r="D12" s="13"/>
      <c r="E12" s="1" t="s">
        <v>0</v>
      </c>
      <c r="F12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13" t="s">
        <v>0</v>
      </c>
      <c r="I12" s="13" t="s">
        <v>0</v>
      </c>
      <c r="J12" s="1" t="s">
        <v>0</v>
      </c>
      <c r="K12" s="21">
        <f t="shared" si="0"/>
        <v>0</v>
      </c>
      <c r="P12" s="67" t="s">
        <v>318</v>
      </c>
      <c r="Q12" s="67" t="s">
        <v>319</v>
      </c>
      <c r="R12" s="67" t="s">
        <v>320</v>
      </c>
      <c r="S12" s="67" t="s">
        <v>321</v>
      </c>
      <c r="T12" s="66"/>
      <c r="U12" s="66"/>
      <c r="V12" s="67" t="s">
        <v>322</v>
      </c>
      <c r="W12" s="67" t="s">
        <v>323</v>
      </c>
      <c r="X12" s="67" t="s">
        <v>324</v>
      </c>
      <c r="Y12" s="67" t="s">
        <v>325</v>
      </c>
    </row>
    <row r="13" spans="1:25" ht="49.5" customHeight="1" thickBot="1" thickTop="1">
      <c r="A13" s="5" t="s">
        <v>21</v>
      </c>
      <c r="B13" s="2" t="s">
        <v>22</v>
      </c>
      <c r="C13" s="3">
        <v>7</v>
      </c>
      <c r="D13" s="13"/>
      <c r="E13" s="1" t="s">
        <v>0</v>
      </c>
      <c r="F13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3" s="1" t="s">
        <v>15</v>
      </c>
      <c r="H13" s="13" t="s">
        <v>0</v>
      </c>
      <c r="I13" s="13" t="s">
        <v>0</v>
      </c>
      <c r="J13" s="1" t="s">
        <v>0</v>
      </c>
      <c r="K13" s="21">
        <f t="shared" si="0"/>
        <v>0</v>
      </c>
      <c r="P13" s="69" t="s">
        <v>318</v>
      </c>
      <c r="Q13" s="69" t="s">
        <v>319</v>
      </c>
      <c r="R13" s="69" t="s">
        <v>320</v>
      </c>
      <c r="S13" s="69" t="s">
        <v>321</v>
      </c>
      <c r="T13" s="68"/>
      <c r="U13" s="68"/>
      <c r="V13" s="69" t="s">
        <v>322</v>
      </c>
      <c r="W13" s="69" t="s">
        <v>323</v>
      </c>
      <c r="X13" s="69" t="s">
        <v>324</v>
      </c>
      <c r="Y13" s="69" t="s">
        <v>325</v>
      </c>
    </row>
    <row r="14" spans="1:25" ht="49.5" customHeight="1" thickBot="1" thickTop="1">
      <c r="A14" s="5" t="s">
        <v>0</v>
      </c>
      <c r="B14" s="2" t="s">
        <v>23</v>
      </c>
      <c r="C14" s="3">
        <v>8</v>
      </c>
      <c r="D14" s="13"/>
      <c r="E14" s="1" t="s">
        <v>0</v>
      </c>
      <c r="F14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4" s="1" t="s">
        <v>15</v>
      </c>
      <c r="H14" s="13" t="s">
        <v>0</v>
      </c>
      <c r="I14" s="13" t="s">
        <v>0</v>
      </c>
      <c r="J14" s="1" t="s">
        <v>0</v>
      </c>
      <c r="K14" s="21">
        <f t="shared" si="0"/>
        <v>0</v>
      </c>
      <c r="P14" s="71" t="s">
        <v>318</v>
      </c>
      <c r="Q14" s="71" t="s">
        <v>319</v>
      </c>
      <c r="R14" s="71" t="s">
        <v>320</v>
      </c>
      <c r="S14" s="71" t="s">
        <v>321</v>
      </c>
      <c r="T14" s="70"/>
      <c r="U14" s="70"/>
      <c r="V14" s="71" t="s">
        <v>322</v>
      </c>
      <c r="W14" s="71" t="s">
        <v>323</v>
      </c>
      <c r="X14" s="71" t="s">
        <v>324</v>
      </c>
      <c r="Y14" s="71" t="s">
        <v>325</v>
      </c>
    </row>
    <row r="15" spans="1:25" ht="49.5" customHeight="1" thickBot="1" thickTop="1">
      <c r="A15" s="6" t="s">
        <v>0</v>
      </c>
      <c r="B15" s="14" t="s">
        <v>24</v>
      </c>
      <c r="C15" s="7">
        <v>9</v>
      </c>
      <c r="D15" s="13"/>
      <c r="E15" s="8" t="s">
        <v>0</v>
      </c>
      <c r="F15" s="8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5" s="8" t="s">
        <v>15</v>
      </c>
      <c r="H15" s="13" t="s">
        <v>0</v>
      </c>
      <c r="I15" s="13" t="s">
        <v>0</v>
      </c>
      <c r="J15" s="8" t="s">
        <v>0</v>
      </c>
      <c r="K15" s="21">
        <f t="shared" si="0"/>
        <v>0</v>
      </c>
      <c r="P15" s="73" t="s">
        <v>318</v>
      </c>
      <c r="Q15" s="73" t="s">
        <v>319</v>
      </c>
      <c r="R15" s="73" t="s">
        <v>320</v>
      </c>
      <c r="S15" s="73" t="s">
        <v>321</v>
      </c>
      <c r="T15" s="72"/>
      <c r="U15" s="72"/>
      <c r="V15" s="73" t="s">
        <v>322</v>
      </c>
      <c r="W15" s="73" t="s">
        <v>323</v>
      </c>
      <c r="X15" s="73" t="s">
        <v>324</v>
      </c>
      <c r="Y15" s="73" t="s">
        <v>325</v>
      </c>
    </row>
    <row r="16" spans="1:11" ht="49.5" customHeight="1" thickTop="1">
      <c r="A16" s="314" t="s">
        <v>25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8" spans="1:11" ht="49.5" customHeight="1">
      <c r="A18" s="316" t="s">
        <v>116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ht="49.5" customHeight="1" thickBot="1">
      <c r="A19" s="320" t="s">
        <v>2</v>
      </c>
      <c r="B19" s="322" t="s">
        <v>3</v>
      </c>
      <c r="C19" s="323"/>
      <c r="D19" s="309" t="s">
        <v>4</v>
      </c>
      <c r="E19" s="309" t="s">
        <v>5</v>
      </c>
      <c r="F19" s="309" t="s">
        <v>6</v>
      </c>
      <c r="G19" s="309" t="s">
        <v>7</v>
      </c>
      <c r="H19" s="309" t="s">
        <v>8</v>
      </c>
      <c r="I19" s="309" t="s">
        <v>9</v>
      </c>
      <c r="J19" s="309" t="s">
        <v>10</v>
      </c>
      <c r="K19" s="310" t="s">
        <v>11</v>
      </c>
    </row>
    <row r="20" spans="1:11" ht="49.5" customHeight="1" thickBot="1" thickTop="1">
      <c r="A20" s="321"/>
      <c r="B20" s="324"/>
      <c r="C20" s="325"/>
      <c r="D20" s="311">
        <v>1</v>
      </c>
      <c r="E20" s="311">
        <v>2</v>
      </c>
      <c r="F20" s="311">
        <v>3</v>
      </c>
      <c r="G20" s="311">
        <v>4</v>
      </c>
      <c r="H20" s="311">
        <v>5</v>
      </c>
      <c r="I20" s="311">
        <v>6</v>
      </c>
      <c r="J20" s="311">
        <v>7</v>
      </c>
      <c r="K20" s="312">
        <v>8</v>
      </c>
    </row>
    <row r="21" spans="1:25" ht="49.5" customHeight="1" thickBot="1" thickTop="1">
      <c r="A21" s="11" t="s">
        <v>117</v>
      </c>
      <c r="B21" s="15" t="s">
        <v>118</v>
      </c>
      <c r="C21" s="4">
        <v>1</v>
      </c>
      <c r="D21" s="13"/>
      <c r="E21" s="13" t="s">
        <v>0</v>
      </c>
      <c r="F21" s="13" t="str">
        <f>"załącznik nr 1 część I pkt 1, załącznik nr 3 ust. 2 "&amp;prawo!B5</f>
        <v>załącznik nr 1 część I pkt 1, załącznik nr 3 ust. 2 rozporządzenia Ministra Zdrowia z dnia 26 czerwca 2012 r. w sprawie szczegółowych wymagań, jakim powinny odpowiadać pomieszczenia i urządzenia podmiotu wykonującego działalność leczniczą (Dz.U. z 2012 r. poz. 739);</v>
      </c>
      <c r="G21" s="13" t="s">
        <v>15</v>
      </c>
      <c r="H21" s="13" t="s">
        <v>0</v>
      </c>
      <c r="I21" s="13" t="s">
        <v>0</v>
      </c>
      <c r="J21" s="13" t="s">
        <v>0</v>
      </c>
      <c r="K21" s="21">
        <f aca="true" t="shared" si="1" ref="K21:K31">IF(I21=P21,V21,IF(I21=Q21,W21,IF(I21=R21,X21,IF(I21=S21,Y21,IF(I21=" "," ",)))))</f>
        <v>0</v>
      </c>
      <c r="P21" s="75" t="s">
        <v>318</v>
      </c>
      <c r="Q21" s="75" t="s">
        <v>319</v>
      </c>
      <c r="R21" s="75" t="s">
        <v>320</v>
      </c>
      <c r="S21" s="75" t="s">
        <v>321</v>
      </c>
      <c r="T21" s="74"/>
      <c r="U21" s="74"/>
      <c r="V21" s="75" t="s">
        <v>322</v>
      </c>
      <c r="W21" s="75" t="s">
        <v>323</v>
      </c>
      <c r="X21" s="75" t="s">
        <v>324</v>
      </c>
      <c r="Y21" s="75" t="s">
        <v>325</v>
      </c>
    </row>
    <row r="22" spans="1:25" ht="49.5" customHeight="1" thickBot="1" thickTop="1">
      <c r="A22" s="327" t="s">
        <v>119</v>
      </c>
      <c r="B22" s="2" t="s">
        <v>120</v>
      </c>
      <c r="C22" s="3">
        <v>2</v>
      </c>
      <c r="D22" s="13"/>
      <c r="E22" s="1" t="s">
        <v>0</v>
      </c>
      <c r="F22" s="1" t="str">
        <f>"§18 "&amp;prawo!B5</f>
        <v>§18 rozporządzenia Ministra Zdrowia z dnia 26 czerwca 2012 r. w sprawie szczegółowych wymagań, jakim powinny odpowiadać pomieszczenia i urządzenia podmiotu wykonującego działalność leczniczą (Dz.U. z 2012 r. poz. 739);</v>
      </c>
      <c r="G22" s="1" t="s">
        <v>15</v>
      </c>
      <c r="H22" s="13" t="s">
        <v>0</v>
      </c>
      <c r="I22" s="13" t="s">
        <v>0</v>
      </c>
      <c r="J22" s="1" t="s">
        <v>0</v>
      </c>
      <c r="K22" s="21">
        <f t="shared" si="1"/>
        <v>0</v>
      </c>
      <c r="P22" s="77" t="s">
        <v>318</v>
      </c>
      <c r="Q22" s="77" t="s">
        <v>319</v>
      </c>
      <c r="R22" s="77" t="s">
        <v>320</v>
      </c>
      <c r="S22" s="77" t="s">
        <v>321</v>
      </c>
      <c r="T22" s="76"/>
      <c r="U22" s="76"/>
      <c r="V22" s="77" t="s">
        <v>322</v>
      </c>
      <c r="W22" s="77" t="s">
        <v>323</v>
      </c>
      <c r="X22" s="77" t="s">
        <v>324</v>
      </c>
      <c r="Y22" s="77" t="s">
        <v>325</v>
      </c>
    </row>
    <row r="23" spans="1:25" ht="49.5" customHeight="1" thickBot="1" thickTop="1">
      <c r="A23" s="329"/>
      <c r="B23" s="2" t="s">
        <v>121</v>
      </c>
      <c r="C23" s="3">
        <v>3</v>
      </c>
      <c r="D23" s="13"/>
      <c r="E23" s="1" t="s">
        <v>0</v>
      </c>
      <c r="F23" s="1" t="str">
        <f>"§19 "&amp;prawo!B5</f>
        <v>§19 rozporządzenia Ministra Zdrowia z dnia 26 czerwca 2012 r. w sprawie szczegółowych wymagań, jakim powinny odpowiadać pomieszczenia i urządzenia podmiotu wykonującego działalność leczniczą (Dz.U. z 2012 r. poz. 739);</v>
      </c>
      <c r="G23" s="1" t="s">
        <v>15</v>
      </c>
      <c r="H23" s="13" t="s">
        <v>0</v>
      </c>
      <c r="I23" s="13" t="s">
        <v>0</v>
      </c>
      <c r="J23" s="1" t="s">
        <v>0</v>
      </c>
      <c r="K23" s="21">
        <f t="shared" si="1"/>
        <v>0</v>
      </c>
      <c r="P23" s="79" t="s">
        <v>318</v>
      </c>
      <c r="Q23" s="79" t="s">
        <v>319</v>
      </c>
      <c r="R23" s="79" t="s">
        <v>320</v>
      </c>
      <c r="S23" s="79" t="s">
        <v>321</v>
      </c>
      <c r="T23" s="78"/>
      <c r="U23" s="78"/>
      <c r="V23" s="79" t="s">
        <v>322</v>
      </c>
      <c r="W23" s="79" t="s">
        <v>323</v>
      </c>
      <c r="X23" s="79" t="s">
        <v>324</v>
      </c>
      <c r="Y23" s="79" t="s">
        <v>325</v>
      </c>
    </row>
    <row r="24" spans="1:25" ht="49.5" customHeight="1" thickBot="1" thickTop="1">
      <c r="A24" s="329"/>
      <c r="B24" s="2" t="s">
        <v>122</v>
      </c>
      <c r="C24" s="3">
        <v>4</v>
      </c>
      <c r="D24" s="13"/>
      <c r="E24" s="1" t="s">
        <v>0</v>
      </c>
      <c r="F24" s="1" t="str">
        <f>"§20 "&amp;prawo!B5</f>
        <v>§20 rozporządzenia Ministra Zdrowia z dnia 26 czerwca 2012 r. w sprawie szczegółowych wymagań, jakim powinny odpowiadać pomieszczenia i urządzenia podmiotu wykonującego działalność leczniczą (Dz.U. z 2012 r. poz. 739);</v>
      </c>
      <c r="G24" s="1" t="s">
        <v>15</v>
      </c>
      <c r="H24" s="13" t="s">
        <v>0</v>
      </c>
      <c r="I24" s="13" t="s">
        <v>0</v>
      </c>
      <c r="J24" s="1" t="s">
        <v>0</v>
      </c>
      <c r="K24" s="21">
        <f t="shared" si="1"/>
        <v>0</v>
      </c>
      <c r="P24" s="81" t="s">
        <v>318</v>
      </c>
      <c r="Q24" s="81" t="s">
        <v>319</v>
      </c>
      <c r="R24" s="81" t="s">
        <v>320</v>
      </c>
      <c r="S24" s="81" t="s">
        <v>321</v>
      </c>
      <c r="T24" s="80"/>
      <c r="U24" s="80"/>
      <c r="V24" s="81" t="s">
        <v>322</v>
      </c>
      <c r="W24" s="81" t="s">
        <v>323</v>
      </c>
      <c r="X24" s="81" t="s">
        <v>324</v>
      </c>
      <c r="Y24" s="81" t="s">
        <v>325</v>
      </c>
    </row>
    <row r="25" spans="1:25" ht="49.5" customHeight="1" thickBot="1" thickTop="1">
      <c r="A25" s="329"/>
      <c r="B25" s="2" t="s">
        <v>123</v>
      </c>
      <c r="C25" s="3">
        <v>5</v>
      </c>
      <c r="D25" s="13"/>
      <c r="E25" s="1" t="s">
        <v>0</v>
      </c>
      <c r="F25" s="1" t="str">
        <f>"§32 "&amp;prawo!B5</f>
        <v>§32 rozporządzenia Ministra Zdrowia z dnia 26 czerwca 2012 r. w sprawie szczegółowych wymagań, jakim powinny odpowiadać pomieszczenia i urządzenia podmiotu wykonującego działalność leczniczą (Dz.U. z 2012 r. poz. 739);</v>
      </c>
      <c r="G25" s="1" t="s">
        <v>15</v>
      </c>
      <c r="H25" s="13" t="s">
        <v>0</v>
      </c>
      <c r="I25" s="13" t="s">
        <v>0</v>
      </c>
      <c r="J25" s="1" t="s">
        <v>0</v>
      </c>
      <c r="K25" s="21">
        <f t="shared" si="1"/>
        <v>0</v>
      </c>
      <c r="P25" s="83" t="s">
        <v>318</v>
      </c>
      <c r="Q25" s="83" t="s">
        <v>319</v>
      </c>
      <c r="R25" s="83" t="s">
        <v>320</v>
      </c>
      <c r="S25" s="83" t="s">
        <v>321</v>
      </c>
      <c r="T25" s="82"/>
      <c r="U25" s="82"/>
      <c r="V25" s="83" t="s">
        <v>322</v>
      </c>
      <c r="W25" s="83" t="s">
        <v>323</v>
      </c>
      <c r="X25" s="83" t="s">
        <v>324</v>
      </c>
      <c r="Y25" s="83" t="s">
        <v>325</v>
      </c>
    </row>
    <row r="26" spans="1:25" ht="49.5" customHeight="1" thickBot="1" thickTop="1">
      <c r="A26" s="328"/>
      <c r="B26" s="2" t="s">
        <v>124</v>
      </c>
      <c r="C26" s="3">
        <v>6</v>
      </c>
      <c r="D26" s="13"/>
      <c r="E26" s="1" t="s">
        <v>0</v>
      </c>
      <c r="F26" s="1" t="str">
        <f>"§34 "&amp;prawo!B5</f>
        <v>§34 rozporządzenia Ministra Zdrowia z dnia 26 czerwca 2012 r. w sprawie szczegółowych wymagań, jakim powinny odpowiadać pomieszczenia i urządzenia podmiotu wykonującego działalność leczniczą (Dz.U. z 2012 r. poz. 739);</v>
      </c>
      <c r="G26" s="1" t="s">
        <v>15</v>
      </c>
      <c r="H26" s="13" t="s">
        <v>0</v>
      </c>
      <c r="I26" s="13" t="s">
        <v>0</v>
      </c>
      <c r="J26" s="1" t="s">
        <v>0</v>
      </c>
      <c r="K26" s="21">
        <f t="shared" si="1"/>
        <v>0</v>
      </c>
      <c r="P26" s="85" t="s">
        <v>318</v>
      </c>
      <c r="Q26" s="85" t="s">
        <v>319</v>
      </c>
      <c r="R26" s="85" t="s">
        <v>320</v>
      </c>
      <c r="S26" s="85" t="s">
        <v>321</v>
      </c>
      <c r="T26" s="84"/>
      <c r="U26" s="84"/>
      <c r="V26" s="85" t="s">
        <v>322</v>
      </c>
      <c r="W26" s="85" t="s">
        <v>323</v>
      </c>
      <c r="X26" s="85" t="s">
        <v>324</v>
      </c>
      <c r="Y26" s="85" t="s">
        <v>325</v>
      </c>
    </row>
    <row r="27" spans="1:25" ht="49.5" customHeight="1" thickBot="1" thickTop="1">
      <c r="A27" s="327" t="s">
        <v>125</v>
      </c>
      <c r="B27" s="2" t="s">
        <v>47</v>
      </c>
      <c r="C27" s="3">
        <v>7</v>
      </c>
      <c r="D27" s="13"/>
      <c r="E27" s="1" t="s">
        <v>0</v>
      </c>
      <c r="F27" s="1" t="str">
        <f>"§24 ust. 1 "&amp;prawo!B5</f>
        <v>§24 ust. 1 rozporządzenia Ministra Zdrowia z dnia 26 czerwca 2012 r. w sprawie szczegółowych wymagań, jakim powinny odpowiadać pomieszczenia i urządzenia podmiotu wykonującego działalność leczniczą (Dz.U. z 2012 r. poz. 739);</v>
      </c>
      <c r="G27" s="1" t="s">
        <v>15</v>
      </c>
      <c r="H27" s="13" t="s">
        <v>0</v>
      </c>
      <c r="I27" s="13" t="s">
        <v>0</v>
      </c>
      <c r="J27" s="1" t="s">
        <v>0</v>
      </c>
      <c r="K27" s="21">
        <f t="shared" si="1"/>
        <v>0</v>
      </c>
      <c r="P27" s="87" t="s">
        <v>318</v>
      </c>
      <c r="Q27" s="87" t="s">
        <v>319</v>
      </c>
      <c r="R27" s="87" t="s">
        <v>320</v>
      </c>
      <c r="S27" s="87" t="s">
        <v>321</v>
      </c>
      <c r="T27" s="86"/>
      <c r="U27" s="86"/>
      <c r="V27" s="87" t="s">
        <v>322</v>
      </c>
      <c r="W27" s="87" t="s">
        <v>323</v>
      </c>
      <c r="X27" s="87" t="s">
        <v>324</v>
      </c>
      <c r="Y27" s="87" t="s">
        <v>325</v>
      </c>
    </row>
    <row r="28" spans="1:25" ht="49.5" customHeight="1" thickBot="1" thickTop="1">
      <c r="A28" s="329"/>
      <c r="B28" s="2" t="s">
        <v>66</v>
      </c>
      <c r="C28" s="3">
        <v>8</v>
      </c>
      <c r="D28" s="13"/>
      <c r="E28" s="1" t="s">
        <v>0</v>
      </c>
      <c r="F28" s="1" t="str">
        <f>"§24 ust. 1 "&amp;prawo!B5</f>
        <v>§24 ust. 1 rozporządzenia Ministra Zdrowia z dnia 26 czerwca 2012 r. w sprawie szczegółowych wymagań, jakim powinny odpowiadać pomieszczenia i urządzenia podmiotu wykonującego działalność leczniczą (Dz.U. z 2012 r. poz. 739);</v>
      </c>
      <c r="G28" s="1" t="s">
        <v>15</v>
      </c>
      <c r="H28" s="13" t="s">
        <v>0</v>
      </c>
      <c r="I28" s="13" t="s">
        <v>0</v>
      </c>
      <c r="J28" s="1" t="s">
        <v>0</v>
      </c>
      <c r="K28" s="21">
        <f t="shared" si="1"/>
        <v>0</v>
      </c>
      <c r="P28" s="89" t="s">
        <v>318</v>
      </c>
      <c r="Q28" s="89" t="s">
        <v>319</v>
      </c>
      <c r="R28" s="89" t="s">
        <v>320</v>
      </c>
      <c r="S28" s="89" t="s">
        <v>321</v>
      </c>
      <c r="T28" s="88"/>
      <c r="U28" s="88"/>
      <c r="V28" s="89" t="s">
        <v>322</v>
      </c>
      <c r="W28" s="89" t="s">
        <v>323</v>
      </c>
      <c r="X28" s="89" t="s">
        <v>324</v>
      </c>
      <c r="Y28" s="89" t="s">
        <v>325</v>
      </c>
    </row>
    <row r="29" spans="1:25" ht="49.5" customHeight="1" thickBot="1" thickTop="1">
      <c r="A29" s="329"/>
      <c r="B29" s="2" t="s">
        <v>68</v>
      </c>
      <c r="C29" s="3">
        <v>9</v>
      </c>
      <c r="D29" s="13"/>
      <c r="E29" s="1" t="s">
        <v>0</v>
      </c>
      <c r="F29" s="1" t="str">
        <f>"§24 ust. 1 "&amp;prawo!B5</f>
        <v>§24 ust. 1 rozporządzenia Ministra Zdrowia z dnia 26 czerwca 2012 r. w sprawie szczegółowych wymagań, jakim powinny odpowiadać pomieszczenia i urządzenia podmiotu wykonującego działalność leczniczą (Dz.U. z 2012 r. poz. 739);</v>
      </c>
      <c r="G29" s="1" t="s">
        <v>15</v>
      </c>
      <c r="H29" s="13" t="s">
        <v>0</v>
      </c>
      <c r="I29" s="13" t="s">
        <v>0</v>
      </c>
      <c r="J29" s="1" t="s">
        <v>0</v>
      </c>
      <c r="K29" s="21">
        <f t="shared" si="1"/>
        <v>0</v>
      </c>
      <c r="P29" s="91" t="s">
        <v>318</v>
      </c>
      <c r="Q29" s="91" t="s">
        <v>319</v>
      </c>
      <c r="R29" s="91" t="s">
        <v>320</v>
      </c>
      <c r="S29" s="91" t="s">
        <v>321</v>
      </c>
      <c r="T29" s="90"/>
      <c r="U29" s="90"/>
      <c r="V29" s="91" t="s">
        <v>322</v>
      </c>
      <c r="W29" s="91" t="s">
        <v>323</v>
      </c>
      <c r="X29" s="91" t="s">
        <v>324</v>
      </c>
      <c r="Y29" s="91" t="s">
        <v>325</v>
      </c>
    </row>
    <row r="30" spans="1:25" ht="49.5" customHeight="1" thickBot="1" thickTop="1">
      <c r="A30" s="329"/>
      <c r="B30" s="2" t="s">
        <v>50</v>
      </c>
      <c r="C30" s="3">
        <v>10</v>
      </c>
      <c r="D30" s="13"/>
      <c r="E30" s="1" t="s">
        <v>0</v>
      </c>
      <c r="F30" s="1" t="str">
        <f>"§24 ust. 1 "&amp;prawo!B5</f>
        <v>§24 ust. 1 rozporządzenia Ministra Zdrowia z dnia 26 czerwca 2012 r. w sprawie szczegółowych wymagań, jakim powinny odpowiadać pomieszczenia i urządzenia podmiotu wykonującego działalność leczniczą (Dz.U. z 2012 r. poz. 739);</v>
      </c>
      <c r="G30" s="1" t="s">
        <v>15</v>
      </c>
      <c r="H30" s="13" t="s">
        <v>0</v>
      </c>
      <c r="I30" s="13" t="s">
        <v>0</v>
      </c>
      <c r="J30" s="1" t="s">
        <v>0</v>
      </c>
      <c r="K30" s="21">
        <f t="shared" si="1"/>
        <v>0</v>
      </c>
      <c r="P30" s="93" t="s">
        <v>318</v>
      </c>
      <c r="Q30" s="93" t="s">
        <v>319</v>
      </c>
      <c r="R30" s="93" t="s">
        <v>320</v>
      </c>
      <c r="S30" s="93" t="s">
        <v>321</v>
      </c>
      <c r="T30" s="92"/>
      <c r="U30" s="92"/>
      <c r="V30" s="93" t="s">
        <v>322</v>
      </c>
      <c r="W30" s="93" t="s">
        <v>323</v>
      </c>
      <c r="X30" s="93" t="s">
        <v>324</v>
      </c>
      <c r="Y30" s="93" t="s">
        <v>325</v>
      </c>
    </row>
    <row r="31" spans="1:23" ht="49.5" customHeight="1" thickBot="1" thickTop="1">
      <c r="A31" s="331"/>
      <c r="B31" s="14" t="s">
        <v>126</v>
      </c>
      <c r="C31" s="7">
        <v>11</v>
      </c>
      <c r="D31" s="13"/>
      <c r="E31" s="8" t="s">
        <v>0</v>
      </c>
      <c r="F31" s="8" t="str">
        <f>"art. 11 ust. 2 pkt 3 "&amp;prawo!B3</f>
        <v>art. 11 ust. 2 pkt 3 ustawy z dnia 5 grudnia 2008 r. o zapobieganiu oraz zwalczaniu zakażeń i chorób zakaźnych u ludzi (tekst jednolity Dz.U. z 2018 poz. 151);</v>
      </c>
      <c r="G31" s="8" t="s">
        <v>87</v>
      </c>
      <c r="H31" s="13" t="s">
        <v>0</v>
      </c>
      <c r="I31" s="8" t="s">
        <v>0</v>
      </c>
      <c r="J31" s="8" t="s">
        <v>0</v>
      </c>
      <c r="K31" s="21">
        <f t="shared" si="1"/>
        <v>0</v>
      </c>
      <c r="P31" s="94" t="s">
        <v>333</v>
      </c>
      <c r="Q31" s="94" t="s">
        <v>334</v>
      </c>
      <c r="V31" s="94" t="s">
        <v>335</v>
      </c>
      <c r="W31" s="94" t="s">
        <v>336</v>
      </c>
    </row>
    <row r="32" ht="49.5" customHeight="1" thickTop="1"/>
    <row r="33" spans="1:11" ht="49.5" customHeight="1">
      <c r="A33" s="316" t="s">
        <v>127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ht="49.5" customHeight="1" thickBot="1">
      <c r="A34" s="320" t="s">
        <v>2</v>
      </c>
      <c r="B34" s="322" t="s">
        <v>3</v>
      </c>
      <c r="C34" s="323"/>
      <c r="D34" s="309" t="s">
        <v>4</v>
      </c>
      <c r="E34" s="309" t="s">
        <v>5</v>
      </c>
      <c r="F34" s="309" t="s">
        <v>6</v>
      </c>
      <c r="G34" s="309" t="s">
        <v>7</v>
      </c>
      <c r="H34" s="309" t="s">
        <v>8</v>
      </c>
      <c r="I34" s="309" t="s">
        <v>9</v>
      </c>
      <c r="J34" s="309" t="s">
        <v>10</v>
      </c>
      <c r="K34" s="310" t="s">
        <v>11</v>
      </c>
    </row>
    <row r="35" spans="1:11" ht="49.5" customHeight="1" thickBot="1" thickTop="1">
      <c r="A35" s="321"/>
      <c r="B35" s="324"/>
      <c r="C35" s="325"/>
      <c r="D35" s="311">
        <v>1</v>
      </c>
      <c r="E35" s="311">
        <v>2</v>
      </c>
      <c r="F35" s="311">
        <v>3</v>
      </c>
      <c r="G35" s="311">
        <v>4</v>
      </c>
      <c r="H35" s="311">
        <v>5</v>
      </c>
      <c r="I35" s="311">
        <v>6</v>
      </c>
      <c r="J35" s="311">
        <v>7</v>
      </c>
      <c r="K35" s="312">
        <v>8</v>
      </c>
    </row>
    <row r="36" spans="1:25" ht="49.5" customHeight="1" thickBot="1" thickTop="1">
      <c r="A36" s="16" t="s">
        <v>128</v>
      </c>
      <c r="B36" s="17" t="s">
        <v>129</v>
      </c>
      <c r="C36" s="18">
        <v>1</v>
      </c>
      <c r="D36" s="13"/>
      <c r="E36" s="19" t="s">
        <v>0</v>
      </c>
      <c r="F36" s="19" t="str">
        <f>"załącznik nr 1 część II pkt. 2, załacznik nr 3 pkt 2 "&amp;prawo!B5</f>
        <v>załącznik nr 1 część II pkt. 2, załacznik nr 3 pkt 2 rozporządzenia Ministra Zdrowia z dnia 26 czerwca 2012 r. w sprawie szczegółowych wymagań, jakim powinny odpowiadać pomieszczenia i urządzenia podmiotu wykonującego działalność leczniczą (Dz.U. z 2012 r. poz. 739);</v>
      </c>
      <c r="G36" s="19" t="s">
        <v>15</v>
      </c>
      <c r="H36" s="13" t="s">
        <v>0</v>
      </c>
      <c r="I36" s="13" t="s">
        <v>0</v>
      </c>
      <c r="J36" s="19" t="s">
        <v>0</v>
      </c>
      <c r="K36" s="21">
        <f>IF(I36=P36,V36,IF(I36=Q36,W36,IF(I36=R36,X36,IF(I36=S36,Y36,IF(I36=" "," ",)))))</f>
        <v>0</v>
      </c>
      <c r="P36" s="95" t="s">
        <v>318</v>
      </c>
      <c r="Q36" s="95" t="s">
        <v>319</v>
      </c>
      <c r="R36" s="95" t="s">
        <v>320</v>
      </c>
      <c r="S36" s="95" t="s">
        <v>321</v>
      </c>
      <c r="V36" s="95" t="s">
        <v>322</v>
      </c>
      <c r="W36" s="95" t="s">
        <v>323</v>
      </c>
      <c r="X36" s="95" t="s">
        <v>324</v>
      </c>
      <c r="Y36" s="95" t="s">
        <v>325</v>
      </c>
    </row>
    <row r="37" spans="1:11" ht="49.5" customHeight="1" thickTop="1">
      <c r="A37" s="314" t="s">
        <v>115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</row>
    <row r="39" spans="1:11" ht="49.5" customHeight="1">
      <c r="A39" s="316" t="s">
        <v>130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</row>
    <row r="40" spans="1:11" ht="49.5" customHeight="1" thickBot="1">
      <c r="A40" s="320" t="s">
        <v>2</v>
      </c>
      <c r="B40" s="322" t="s">
        <v>3</v>
      </c>
      <c r="C40" s="323"/>
      <c r="D40" s="309" t="s">
        <v>4</v>
      </c>
      <c r="E40" s="309" t="s">
        <v>5</v>
      </c>
      <c r="F40" s="309" t="s">
        <v>6</v>
      </c>
      <c r="G40" s="309" t="s">
        <v>7</v>
      </c>
      <c r="H40" s="309" t="s">
        <v>8</v>
      </c>
      <c r="I40" s="309" t="s">
        <v>9</v>
      </c>
      <c r="J40" s="309" t="s">
        <v>10</v>
      </c>
      <c r="K40" s="310" t="s">
        <v>11</v>
      </c>
    </row>
    <row r="41" spans="1:11" ht="49.5" customHeight="1" thickBot="1" thickTop="1">
      <c r="A41" s="321"/>
      <c r="B41" s="324"/>
      <c r="C41" s="325"/>
      <c r="D41" s="311">
        <v>1</v>
      </c>
      <c r="E41" s="311">
        <v>2</v>
      </c>
      <c r="F41" s="311">
        <v>3</v>
      </c>
      <c r="G41" s="311">
        <v>4</v>
      </c>
      <c r="H41" s="311">
        <v>5</v>
      </c>
      <c r="I41" s="311">
        <v>6</v>
      </c>
      <c r="J41" s="311">
        <v>7</v>
      </c>
      <c r="K41" s="312">
        <v>8</v>
      </c>
    </row>
    <row r="42" spans="1:25" ht="49.5" customHeight="1" thickBot="1" thickTop="1">
      <c r="A42" s="11" t="s">
        <v>131</v>
      </c>
      <c r="B42" s="15" t="s">
        <v>132</v>
      </c>
      <c r="C42" s="4">
        <v>1</v>
      </c>
      <c r="D42" s="13"/>
      <c r="E42" s="13" t="s">
        <v>0</v>
      </c>
      <c r="F42" s="13" t="str">
        <f>"załącznik nr 1 cześć II pkt. 3, załącznik nr 3 ust. 1 pkt 1 "&amp;prawo!B5</f>
        <v>załącznik nr 1 cześć II pkt. 3, załącznik nr 3 ust. 1 pkt 1 rozporządzenia Ministra Zdrowia z dnia 26 czerwca 2012 r. w sprawie szczegółowych wymagań, jakim powinny odpowiadać pomieszczenia i urządzenia podmiotu wykonującego działalność leczniczą (Dz.U. z 2012 r. poz. 739);</v>
      </c>
      <c r="G42" s="13" t="s">
        <v>15</v>
      </c>
      <c r="H42" s="13" t="s">
        <v>0</v>
      </c>
      <c r="I42" s="13" t="s">
        <v>0</v>
      </c>
      <c r="J42" s="13" t="s">
        <v>0</v>
      </c>
      <c r="K42" s="21">
        <f aca="true" t="shared" si="2" ref="K42:K48">IF(I42=P42,V42,IF(I42=Q42,W42,IF(I42=R42,X42,IF(I42=S42,Y42,IF(I42=" "," ",)))))</f>
        <v>0</v>
      </c>
      <c r="P42" s="96" t="s">
        <v>318</v>
      </c>
      <c r="Q42" s="96" t="s">
        <v>319</v>
      </c>
      <c r="R42" s="96" t="s">
        <v>320</v>
      </c>
      <c r="S42" s="96" t="s">
        <v>321</v>
      </c>
      <c r="V42" s="96" t="s">
        <v>322</v>
      </c>
      <c r="W42" s="96" t="s">
        <v>323</v>
      </c>
      <c r="X42" s="96" t="s">
        <v>324</v>
      </c>
      <c r="Y42" s="96" t="s">
        <v>325</v>
      </c>
    </row>
    <row r="43" spans="1:25" ht="49.5" customHeight="1" thickBot="1" thickTop="1">
      <c r="A43" s="327" t="s">
        <v>64</v>
      </c>
      <c r="B43" s="2" t="s">
        <v>65</v>
      </c>
      <c r="C43" s="3">
        <v>2</v>
      </c>
      <c r="D43" s="13"/>
      <c r="E43" s="1" t="s">
        <v>0</v>
      </c>
      <c r="F43" s="1" t="str">
        <f>"§36 ust. 1 pkt 1 "&amp;prawo!B5</f>
        <v>§36 ust. 1 pkt 1 rozporządzenia Ministra Zdrowia z dnia 26 czerwca 2012 r. w sprawie szczegółowych wymagań, jakim powinny odpowiadać pomieszczenia i urządzenia podmiotu wykonującego działalność leczniczą (Dz.U. z 2012 r. poz. 739);</v>
      </c>
      <c r="G43" s="1" t="s">
        <v>15</v>
      </c>
      <c r="H43" s="13" t="s">
        <v>0</v>
      </c>
      <c r="I43" s="13" t="s">
        <v>0</v>
      </c>
      <c r="J43" s="1" t="s">
        <v>0</v>
      </c>
      <c r="K43" s="21">
        <f t="shared" si="2"/>
        <v>0</v>
      </c>
      <c r="P43" s="97" t="s">
        <v>318</v>
      </c>
      <c r="Q43" s="97" t="s">
        <v>319</v>
      </c>
      <c r="R43" s="97" t="s">
        <v>320</v>
      </c>
      <c r="S43" s="97" t="s">
        <v>321</v>
      </c>
      <c r="V43" s="97" t="s">
        <v>322</v>
      </c>
      <c r="W43" s="97" t="s">
        <v>323</v>
      </c>
      <c r="X43" s="97" t="s">
        <v>324</v>
      </c>
      <c r="Y43" s="97" t="s">
        <v>325</v>
      </c>
    </row>
    <row r="44" spans="1:25" ht="49.5" customHeight="1" thickBot="1" thickTop="1">
      <c r="A44" s="329"/>
      <c r="B44" s="2" t="s">
        <v>66</v>
      </c>
      <c r="C44" s="3">
        <v>3</v>
      </c>
      <c r="D44" s="13"/>
      <c r="E44" s="1" t="s">
        <v>0</v>
      </c>
      <c r="F44" s="1" t="str">
        <f>"§36 ust. 1 pkt 2 "&amp;prawo!B5</f>
        <v>§36 ust. 1 pkt 2 rozporządzenia Ministra Zdrowia z dnia 26 czerwca 2012 r. w sprawie szczegółowych wymagań, jakim powinny odpowiadać pomieszczenia i urządzenia podmiotu wykonującego działalność leczniczą (Dz.U. z 2012 r. poz. 739);</v>
      </c>
      <c r="G44" s="1" t="s">
        <v>15</v>
      </c>
      <c r="H44" s="13" t="s">
        <v>0</v>
      </c>
      <c r="I44" s="13" t="s">
        <v>0</v>
      </c>
      <c r="J44" s="1" t="s">
        <v>0</v>
      </c>
      <c r="K44" s="21">
        <f t="shared" si="2"/>
        <v>0</v>
      </c>
      <c r="P44" s="98" t="s">
        <v>318</v>
      </c>
      <c r="Q44" s="98" t="s">
        <v>319</v>
      </c>
      <c r="R44" s="98" t="s">
        <v>320</v>
      </c>
      <c r="S44" s="98" t="s">
        <v>321</v>
      </c>
      <c r="V44" s="98" t="s">
        <v>322</v>
      </c>
      <c r="W44" s="98" t="s">
        <v>323</v>
      </c>
      <c r="X44" s="98" t="s">
        <v>324</v>
      </c>
      <c r="Y44" s="98" t="s">
        <v>325</v>
      </c>
    </row>
    <row r="45" spans="1:25" ht="49.5" customHeight="1" thickBot="1" thickTop="1">
      <c r="A45" s="329"/>
      <c r="B45" s="2" t="s">
        <v>67</v>
      </c>
      <c r="C45" s="3">
        <v>4</v>
      </c>
      <c r="D45" s="13"/>
      <c r="E45" s="1" t="s">
        <v>0</v>
      </c>
      <c r="F45" s="1" t="str">
        <f>"§36 ust. 1 pkt 3 "&amp;prawo!B5</f>
        <v>§36 ust. 1 pkt 3 rozporządzenia Ministra Zdrowia z dnia 26 czerwca 2012 r. w sprawie szczegółowych wymagań, jakim powinny odpowiadać pomieszczenia i urządzenia podmiotu wykonującego działalność leczniczą (Dz.U. z 2012 r. poz. 739);</v>
      </c>
      <c r="G45" s="1" t="s">
        <v>15</v>
      </c>
      <c r="H45" s="13" t="s">
        <v>0</v>
      </c>
      <c r="I45" s="13" t="s">
        <v>0</v>
      </c>
      <c r="J45" s="1" t="s">
        <v>0</v>
      </c>
      <c r="K45" s="21">
        <f t="shared" si="2"/>
        <v>0</v>
      </c>
      <c r="P45" s="99" t="s">
        <v>318</v>
      </c>
      <c r="Q45" s="99" t="s">
        <v>319</v>
      </c>
      <c r="R45" s="99" t="s">
        <v>320</v>
      </c>
      <c r="S45" s="99" t="s">
        <v>321</v>
      </c>
      <c r="V45" s="99" t="s">
        <v>322</v>
      </c>
      <c r="W45" s="99" t="s">
        <v>323</v>
      </c>
      <c r="X45" s="99" t="s">
        <v>324</v>
      </c>
      <c r="Y45" s="99" t="s">
        <v>325</v>
      </c>
    </row>
    <row r="46" spans="1:25" ht="49.5" customHeight="1" thickBot="1" thickTop="1">
      <c r="A46" s="329"/>
      <c r="B46" s="2" t="s">
        <v>68</v>
      </c>
      <c r="C46" s="3">
        <v>5</v>
      </c>
      <c r="D46" s="13"/>
      <c r="E46" s="1" t="s">
        <v>0</v>
      </c>
      <c r="F46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46" s="1" t="s">
        <v>15</v>
      </c>
      <c r="H46" s="13" t="s">
        <v>0</v>
      </c>
      <c r="I46" s="13" t="s">
        <v>0</v>
      </c>
      <c r="J46" s="1" t="s">
        <v>0</v>
      </c>
      <c r="K46" s="21">
        <f t="shared" si="2"/>
        <v>0</v>
      </c>
      <c r="P46" s="100" t="s">
        <v>318</v>
      </c>
      <c r="Q46" s="100" t="s">
        <v>319</v>
      </c>
      <c r="R46" s="100" t="s">
        <v>320</v>
      </c>
      <c r="S46" s="100" t="s">
        <v>321</v>
      </c>
      <c r="V46" s="100" t="s">
        <v>322</v>
      </c>
      <c r="W46" s="100" t="s">
        <v>323</v>
      </c>
      <c r="X46" s="100" t="s">
        <v>324</v>
      </c>
      <c r="Y46" s="100" t="s">
        <v>325</v>
      </c>
    </row>
    <row r="47" spans="1:25" ht="49.5" customHeight="1" thickBot="1" thickTop="1">
      <c r="A47" s="328"/>
      <c r="B47" s="2" t="s">
        <v>69</v>
      </c>
      <c r="C47" s="3">
        <v>6</v>
      </c>
      <c r="D47" s="13"/>
      <c r="E47" s="1" t="s">
        <v>0</v>
      </c>
      <c r="F47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47" s="1" t="s">
        <v>15</v>
      </c>
      <c r="H47" s="13" t="s">
        <v>0</v>
      </c>
      <c r="I47" s="13" t="s">
        <v>0</v>
      </c>
      <c r="J47" s="1" t="s">
        <v>0</v>
      </c>
      <c r="K47" s="21">
        <f t="shared" si="2"/>
        <v>0</v>
      </c>
      <c r="P47" s="101" t="s">
        <v>318</v>
      </c>
      <c r="Q47" s="101" t="s">
        <v>319</v>
      </c>
      <c r="R47" s="101" t="s">
        <v>320</v>
      </c>
      <c r="S47" s="101" t="s">
        <v>321</v>
      </c>
      <c r="V47" s="101" t="s">
        <v>322</v>
      </c>
      <c r="W47" s="101" t="s">
        <v>323</v>
      </c>
      <c r="X47" s="101" t="s">
        <v>324</v>
      </c>
      <c r="Y47" s="101" t="s">
        <v>325</v>
      </c>
    </row>
    <row r="48" spans="1:25" ht="49.5" customHeight="1" thickBot="1" thickTop="1">
      <c r="A48" s="6" t="s">
        <v>133</v>
      </c>
      <c r="B48" s="14" t="s">
        <v>134</v>
      </c>
      <c r="C48" s="7">
        <v>7</v>
      </c>
      <c r="D48" s="13"/>
      <c r="E48" s="8" t="s">
        <v>0</v>
      </c>
      <c r="F48" s="8" t="str">
        <f>"§36 ust. 2 "&amp;prawo!B5</f>
        <v>§36 ust. 2 rozporządzenia Ministra Zdrowia z dnia 26 czerwca 2012 r. w sprawie szczegółowych wymagań, jakim powinny odpowiadać pomieszczenia i urządzenia podmiotu wykonującego działalność leczniczą (Dz.U. z 2012 r. poz. 739);</v>
      </c>
      <c r="G48" s="8" t="s">
        <v>15</v>
      </c>
      <c r="H48" s="13" t="s">
        <v>0</v>
      </c>
      <c r="I48" s="13" t="s">
        <v>0</v>
      </c>
      <c r="J48" s="8" t="s">
        <v>0</v>
      </c>
      <c r="K48" s="21">
        <f t="shared" si="2"/>
        <v>0</v>
      </c>
      <c r="P48" s="102" t="s">
        <v>318</v>
      </c>
      <c r="Q48" s="102" t="s">
        <v>319</v>
      </c>
      <c r="R48" s="102" t="s">
        <v>320</v>
      </c>
      <c r="S48" s="102" t="s">
        <v>321</v>
      </c>
      <c r="V48" s="102" t="s">
        <v>322</v>
      </c>
      <c r="W48" s="102" t="s">
        <v>323</v>
      </c>
      <c r="X48" s="102" t="s">
        <v>324</v>
      </c>
      <c r="Y48" s="102" t="s">
        <v>325</v>
      </c>
    </row>
    <row r="49" spans="1:11" ht="49.5" customHeight="1" thickTop="1">
      <c r="A49" s="314" t="s">
        <v>135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</row>
    <row r="51" spans="1:11" ht="49.5" customHeight="1">
      <c r="A51" s="316" t="s">
        <v>136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</row>
    <row r="52" spans="1:11" ht="49.5" customHeight="1" thickBot="1">
      <c r="A52" s="320" t="s">
        <v>2</v>
      </c>
      <c r="B52" s="322" t="s">
        <v>3</v>
      </c>
      <c r="C52" s="323"/>
      <c r="D52" s="309" t="s">
        <v>4</v>
      </c>
      <c r="E52" s="309" t="s">
        <v>5</v>
      </c>
      <c r="F52" s="309" t="s">
        <v>6</v>
      </c>
      <c r="G52" s="309" t="s">
        <v>7</v>
      </c>
      <c r="H52" s="309" t="s">
        <v>8</v>
      </c>
      <c r="I52" s="309" t="s">
        <v>9</v>
      </c>
      <c r="J52" s="309" t="s">
        <v>10</v>
      </c>
      <c r="K52" s="310" t="s">
        <v>11</v>
      </c>
    </row>
    <row r="53" spans="1:11" ht="49.5" customHeight="1" thickBot="1" thickTop="1">
      <c r="A53" s="321"/>
      <c r="B53" s="324"/>
      <c r="C53" s="325"/>
      <c r="D53" s="311">
        <v>1</v>
      </c>
      <c r="E53" s="311">
        <v>2</v>
      </c>
      <c r="F53" s="311">
        <v>3</v>
      </c>
      <c r="G53" s="311">
        <v>4</v>
      </c>
      <c r="H53" s="311">
        <v>5</v>
      </c>
      <c r="I53" s="311">
        <v>6</v>
      </c>
      <c r="J53" s="311">
        <v>7</v>
      </c>
      <c r="K53" s="312">
        <v>8</v>
      </c>
    </row>
    <row r="54" spans="1:25" ht="49.5" customHeight="1" thickBot="1" thickTop="1">
      <c r="A54" s="330" t="s">
        <v>137</v>
      </c>
      <c r="B54" s="15" t="s">
        <v>138</v>
      </c>
      <c r="C54" s="4">
        <v>1</v>
      </c>
      <c r="D54" s="13"/>
      <c r="E54" s="13" t="s">
        <v>0</v>
      </c>
      <c r="F54" s="13" t="str">
        <f>"załącznik nr 1 II pkt. 5, załacznik nr 3 ust. 2 "&amp;prawo!B5</f>
        <v>załącznik nr 1 II pkt. 5, załacznik nr 3 ust. 2 rozporządzenia Ministra Zdrowia z dnia 26 czerwca 2012 r. w sprawie szczegółowych wymagań, jakim powinny odpowiadać pomieszczenia i urządzenia podmiotu wykonującego działalność leczniczą (Dz.U. z 2012 r. poz. 739);</v>
      </c>
      <c r="G54" s="13" t="s">
        <v>15</v>
      </c>
      <c r="H54" s="13" t="s">
        <v>0</v>
      </c>
      <c r="I54" s="13" t="s">
        <v>0</v>
      </c>
      <c r="J54" s="13" t="s">
        <v>0</v>
      </c>
      <c r="K54" s="21">
        <f>IF(I54=P54,V54,IF(I54=Q54,W54,IF(I54=R54,X54,IF(I54=S54,Y54,IF(I54=" "," ",)))))</f>
        <v>0</v>
      </c>
      <c r="P54" s="103" t="s">
        <v>318</v>
      </c>
      <c r="Q54" s="103" t="s">
        <v>319</v>
      </c>
      <c r="R54" s="103" t="s">
        <v>320</v>
      </c>
      <c r="S54" s="103" t="s">
        <v>321</v>
      </c>
      <c r="V54" s="103" t="s">
        <v>322</v>
      </c>
      <c r="W54" s="103" t="s">
        <v>323</v>
      </c>
      <c r="X54" s="103" t="s">
        <v>324</v>
      </c>
      <c r="Y54" s="103" t="s">
        <v>325</v>
      </c>
    </row>
    <row r="55" spans="1:25" ht="49.5" customHeight="1" thickBot="1" thickTop="1">
      <c r="A55" s="329"/>
      <c r="B55" s="2" t="s">
        <v>139</v>
      </c>
      <c r="C55" s="3">
        <v>2</v>
      </c>
      <c r="D55" s="13"/>
      <c r="E55" s="1" t="s">
        <v>0</v>
      </c>
      <c r="F55" s="1" t="str">
        <f>"załącznik nr 1 II pkt. 5, załacznik nr 3 ust. 2 "&amp;prawo!B5</f>
        <v>załącznik nr 1 II pkt. 5, załacznik nr 3 ust. 2 rozporządzenia Ministra Zdrowia z dnia 26 czerwca 2012 r. w sprawie szczegółowych wymagań, jakim powinny odpowiadać pomieszczenia i urządzenia podmiotu wykonującego działalność leczniczą (Dz.U. z 2012 r. poz. 739);</v>
      </c>
      <c r="G55" s="1" t="s">
        <v>15</v>
      </c>
      <c r="H55" s="13" t="s">
        <v>0</v>
      </c>
      <c r="I55" s="13" t="s">
        <v>0</v>
      </c>
      <c r="J55" s="1" t="s">
        <v>0</v>
      </c>
      <c r="K55" s="21">
        <f>IF(I55=P55,V55,IF(I55=Q55,W55,IF(I55=R55,X55,IF(I55=S55,Y55,IF(I55=" "," ",)))))</f>
        <v>0</v>
      </c>
      <c r="P55" s="104" t="s">
        <v>318</v>
      </c>
      <c r="Q55" s="104" t="s">
        <v>319</v>
      </c>
      <c r="R55" s="104" t="s">
        <v>320</v>
      </c>
      <c r="S55" s="104" t="s">
        <v>321</v>
      </c>
      <c r="V55" s="104" t="s">
        <v>322</v>
      </c>
      <c r="W55" s="104" t="s">
        <v>323</v>
      </c>
      <c r="X55" s="104" t="s">
        <v>324</v>
      </c>
      <c r="Y55" s="104" t="s">
        <v>325</v>
      </c>
    </row>
    <row r="56" spans="1:25" ht="49.5" customHeight="1" thickBot="1" thickTop="1">
      <c r="A56" s="329"/>
      <c r="B56" s="2" t="s">
        <v>140</v>
      </c>
      <c r="C56" s="3">
        <v>3</v>
      </c>
      <c r="D56" s="13"/>
      <c r="E56" s="1" t="s">
        <v>0</v>
      </c>
      <c r="F56" s="1" t="str">
        <f>"załącznik nr 1 II pkt. 5, załacznik nr 3 ust. 2 "&amp;prawo!B5</f>
        <v>załącznik nr 1 II pkt. 5, załacznik nr 3 ust. 2 rozporządzenia Ministra Zdrowia z dnia 26 czerwca 2012 r. w sprawie szczegółowych wymagań, jakim powinny odpowiadać pomieszczenia i urządzenia podmiotu wykonującego działalność leczniczą (Dz.U. z 2012 r. poz. 739);</v>
      </c>
      <c r="G56" s="1" t="s">
        <v>15</v>
      </c>
      <c r="H56" s="13" t="s">
        <v>0</v>
      </c>
      <c r="I56" s="13" t="s">
        <v>0</v>
      </c>
      <c r="J56" s="1" t="s">
        <v>0</v>
      </c>
      <c r="K56" s="21">
        <f>IF(I56=P56,V56,IF(I56=Q56,W56,IF(I56=R56,X56,IF(I56=S56,Y56,IF(I56=" "," ",)))))</f>
        <v>0</v>
      </c>
      <c r="P56" s="105" t="s">
        <v>318</v>
      </c>
      <c r="Q56" s="105" t="s">
        <v>319</v>
      </c>
      <c r="R56" s="105" t="s">
        <v>320</v>
      </c>
      <c r="S56" s="105" t="s">
        <v>321</v>
      </c>
      <c r="V56" s="105" t="s">
        <v>322</v>
      </c>
      <c r="W56" s="105" t="s">
        <v>323</v>
      </c>
      <c r="X56" s="105" t="s">
        <v>324</v>
      </c>
      <c r="Y56" s="105" t="s">
        <v>325</v>
      </c>
    </row>
    <row r="57" spans="1:25" ht="49.5" customHeight="1" thickBot="1" thickTop="1">
      <c r="A57" s="331"/>
      <c r="B57" s="14" t="s">
        <v>141</v>
      </c>
      <c r="C57" s="7">
        <v>4</v>
      </c>
      <c r="D57" s="13"/>
      <c r="E57" s="8" t="s">
        <v>0</v>
      </c>
      <c r="F57" s="8" t="str">
        <f>"załącznik nr 1 II pkt. 5, załacznik nr 3 ust. 2 "&amp;prawo!B5</f>
        <v>załącznik nr 1 II pkt. 5, załacznik nr 3 ust. 2 rozporządzenia Ministra Zdrowia z dnia 26 czerwca 2012 r. w sprawie szczegółowych wymagań, jakim powinny odpowiadać pomieszczenia i urządzenia podmiotu wykonującego działalność leczniczą (Dz.U. z 2012 r. poz. 739);</v>
      </c>
      <c r="G57" s="8" t="s">
        <v>15</v>
      </c>
      <c r="H57" s="13" t="s">
        <v>0</v>
      </c>
      <c r="I57" s="13" t="s">
        <v>0</v>
      </c>
      <c r="J57" s="8" t="s">
        <v>0</v>
      </c>
      <c r="K57" s="21">
        <f>IF(I57=P57,V57,IF(I57=Q57,W57,IF(I57=R57,X57,IF(I57=S57,Y57,IF(I57=" "," ",)))))</f>
        <v>0</v>
      </c>
      <c r="P57" s="106" t="s">
        <v>318</v>
      </c>
      <c r="Q57" s="106" t="s">
        <v>319</v>
      </c>
      <c r="R57" s="106" t="s">
        <v>320</v>
      </c>
      <c r="S57" s="106" t="s">
        <v>321</v>
      </c>
      <c r="V57" s="106" t="s">
        <v>322</v>
      </c>
      <c r="W57" s="106" t="s">
        <v>323</v>
      </c>
      <c r="X57" s="106" t="s">
        <v>324</v>
      </c>
      <c r="Y57" s="106" t="s">
        <v>325</v>
      </c>
    </row>
    <row r="58" spans="1:11" ht="49.5" customHeight="1" thickTop="1">
      <c r="A58" s="314" t="s">
        <v>115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</row>
    <row r="60" spans="1:11" ht="49.5" customHeight="1">
      <c r="A60" s="316" t="s">
        <v>142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</row>
    <row r="61" spans="1:11" ht="49.5" customHeight="1" thickBot="1">
      <c r="A61" s="320" t="s">
        <v>2</v>
      </c>
      <c r="B61" s="322" t="s">
        <v>3</v>
      </c>
      <c r="C61" s="323"/>
      <c r="D61" s="309" t="s">
        <v>4</v>
      </c>
      <c r="E61" s="309" t="s">
        <v>5</v>
      </c>
      <c r="F61" s="309" t="s">
        <v>6</v>
      </c>
      <c r="G61" s="309" t="s">
        <v>7</v>
      </c>
      <c r="H61" s="309" t="s">
        <v>8</v>
      </c>
      <c r="I61" s="309" t="s">
        <v>9</v>
      </c>
      <c r="J61" s="309" t="s">
        <v>10</v>
      </c>
      <c r="K61" s="310" t="s">
        <v>11</v>
      </c>
    </row>
    <row r="62" spans="1:11" ht="49.5" customHeight="1" thickBot="1" thickTop="1">
      <c r="A62" s="321"/>
      <c r="B62" s="324"/>
      <c r="C62" s="325"/>
      <c r="D62" s="311">
        <v>1</v>
      </c>
      <c r="E62" s="311">
        <v>2</v>
      </c>
      <c r="F62" s="311">
        <v>3</v>
      </c>
      <c r="G62" s="311">
        <v>4</v>
      </c>
      <c r="H62" s="311">
        <v>5</v>
      </c>
      <c r="I62" s="311">
        <v>6</v>
      </c>
      <c r="J62" s="311">
        <v>7</v>
      </c>
      <c r="K62" s="312">
        <v>8</v>
      </c>
    </row>
    <row r="63" spans="1:25" ht="49.5" customHeight="1" thickBot="1" thickTop="1">
      <c r="A63" s="11" t="s">
        <v>143</v>
      </c>
      <c r="B63" s="15" t="s">
        <v>144</v>
      </c>
      <c r="C63" s="4">
        <v>1</v>
      </c>
      <c r="D63" s="13"/>
      <c r="E63" s="13" t="s">
        <v>0</v>
      </c>
      <c r="F63" s="13" t="str">
        <f>"załącznik nr 1 cześć II pkt. 4, załacznik nr 3 ust. 2 "&amp;prawo!B5</f>
        <v>załącznik nr 1 cześć II pkt. 4, załacznik nr 3 ust. 2 rozporządzenia Ministra Zdrowia z dnia 26 czerwca 2012 r. w sprawie szczegółowych wymagań, jakim powinny odpowiadać pomieszczenia i urządzenia podmiotu wykonującego działalność leczniczą (Dz.U. z 2012 r. poz. 739);</v>
      </c>
      <c r="G63" s="13" t="s">
        <v>15</v>
      </c>
      <c r="H63" s="13" t="s">
        <v>0</v>
      </c>
      <c r="I63" s="13" t="s">
        <v>0</v>
      </c>
      <c r="J63" s="13" t="s">
        <v>0</v>
      </c>
      <c r="K63" s="21">
        <f aca="true" t="shared" si="3" ref="K63:K70">IF(I63=P63,V63,IF(I63=Q63,W63,IF(I63=R63,X63,IF(I63=S63,Y63,IF(I63=" "," ",)))))</f>
        <v>0</v>
      </c>
      <c r="P63" s="107" t="s">
        <v>318</v>
      </c>
      <c r="Q63" s="107" t="s">
        <v>319</v>
      </c>
      <c r="R63" s="107" t="s">
        <v>320</v>
      </c>
      <c r="S63" s="107" t="s">
        <v>321</v>
      </c>
      <c r="V63" s="107" t="s">
        <v>322</v>
      </c>
      <c r="W63" s="107" t="s">
        <v>323</v>
      </c>
      <c r="X63" s="107" t="s">
        <v>324</v>
      </c>
      <c r="Y63" s="107" t="s">
        <v>325</v>
      </c>
    </row>
    <row r="64" spans="1:25" ht="49.5" customHeight="1" thickBot="1" thickTop="1">
      <c r="A64" s="5" t="s">
        <v>145</v>
      </c>
      <c r="B64" s="2" t="s">
        <v>146</v>
      </c>
      <c r="C64" s="3">
        <v>2</v>
      </c>
      <c r="D64" s="13"/>
      <c r="E64" s="1" t="s">
        <v>0</v>
      </c>
      <c r="F64" s="1" t="str">
        <f>"załącznik nr 1 cześć II pkt. 4, załacznik nr 3 ust. 2 "&amp;prawo!B5</f>
        <v>załącznik nr 1 cześć II pkt. 4, załacznik nr 3 ust. 2 rozporządzenia Ministra Zdrowia z dnia 26 czerwca 2012 r. w sprawie szczegółowych wymagań, jakim powinny odpowiadać pomieszczenia i urządzenia podmiotu wykonującego działalność leczniczą (Dz.U. z 2012 r. poz. 739);</v>
      </c>
      <c r="G64" s="1" t="s">
        <v>15</v>
      </c>
      <c r="H64" s="13" t="s">
        <v>0</v>
      </c>
      <c r="I64" s="13" t="s">
        <v>0</v>
      </c>
      <c r="J64" s="1" t="s">
        <v>0</v>
      </c>
      <c r="K64" s="21">
        <f t="shared" si="3"/>
        <v>0</v>
      </c>
      <c r="P64" s="108" t="s">
        <v>318</v>
      </c>
      <c r="Q64" s="108" t="s">
        <v>319</v>
      </c>
      <c r="R64" s="108" t="s">
        <v>320</v>
      </c>
      <c r="S64" s="108" t="s">
        <v>321</v>
      </c>
      <c r="V64" s="108" t="s">
        <v>322</v>
      </c>
      <c r="W64" s="108" t="s">
        <v>323</v>
      </c>
      <c r="X64" s="108" t="s">
        <v>324</v>
      </c>
      <c r="Y64" s="108" t="s">
        <v>325</v>
      </c>
    </row>
    <row r="65" spans="1:25" ht="49.5" customHeight="1" thickBot="1" thickTop="1">
      <c r="A65" s="327" t="s">
        <v>73</v>
      </c>
      <c r="B65" s="2" t="s">
        <v>47</v>
      </c>
      <c r="C65" s="3">
        <v>3</v>
      </c>
      <c r="D65" s="13"/>
      <c r="E65" s="1" t="s">
        <v>0</v>
      </c>
      <c r="F65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65" s="1" t="s">
        <v>15</v>
      </c>
      <c r="H65" s="13" t="s">
        <v>0</v>
      </c>
      <c r="I65" s="13" t="s">
        <v>0</v>
      </c>
      <c r="J65" s="1" t="s">
        <v>0</v>
      </c>
      <c r="K65" s="21">
        <f t="shared" si="3"/>
        <v>0</v>
      </c>
      <c r="P65" s="109" t="s">
        <v>318</v>
      </c>
      <c r="Q65" s="109" t="s">
        <v>319</v>
      </c>
      <c r="R65" s="109" t="s">
        <v>320</v>
      </c>
      <c r="S65" s="109" t="s">
        <v>321</v>
      </c>
      <c r="V65" s="109" t="s">
        <v>322</v>
      </c>
      <c r="W65" s="109" t="s">
        <v>323</v>
      </c>
      <c r="X65" s="109" t="s">
        <v>324</v>
      </c>
      <c r="Y65" s="109" t="s">
        <v>325</v>
      </c>
    </row>
    <row r="66" spans="1:25" ht="49.5" customHeight="1" thickBot="1" thickTop="1">
      <c r="A66" s="329"/>
      <c r="B66" s="2" t="s">
        <v>48</v>
      </c>
      <c r="C66" s="3">
        <v>4</v>
      </c>
      <c r="D66" s="13"/>
      <c r="E66" s="1" t="s">
        <v>0</v>
      </c>
      <c r="F66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66" s="1" t="s">
        <v>15</v>
      </c>
      <c r="H66" s="13" t="s">
        <v>0</v>
      </c>
      <c r="I66" s="13" t="s">
        <v>0</v>
      </c>
      <c r="J66" s="1" t="s">
        <v>0</v>
      </c>
      <c r="K66" s="21">
        <f t="shared" si="3"/>
        <v>0</v>
      </c>
      <c r="P66" s="110" t="s">
        <v>318</v>
      </c>
      <c r="Q66" s="110" t="s">
        <v>319</v>
      </c>
      <c r="R66" s="110" t="s">
        <v>320</v>
      </c>
      <c r="S66" s="110" t="s">
        <v>321</v>
      </c>
      <c r="V66" s="110" t="s">
        <v>322</v>
      </c>
      <c r="W66" s="110" t="s">
        <v>323</v>
      </c>
      <c r="X66" s="110" t="s">
        <v>324</v>
      </c>
      <c r="Y66" s="110" t="s">
        <v>325</v>
      </c>
    </row>
    <row r="67" spans="1:25" ht="49.5" customHeight="1" thickBot="1" thickTop="1">
      <c r="A67" s="329"/>
      <c r="B67" s="2" t="s">
        <v>49</v>
      </c>
      <c r="C67" s="3">
        <v>5</v>
      </c>
      <c r="D67" s="13"/>
      <c r="E67" s="1" t="s">
        <v>0</v>
      </c>
      <c r="F67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67" s="1" t="s">
        <v>15</v>
      </c>
      <c r="H67" s="13" t="s">
        <v>0</v>
      </c>
      <c r="I67" s="13" t="s">
        <v>0</v>
      </c>
      <c r="J67" s="1" t="s">
        <v>0</v>
      </c>
      <c r="K67" s="21">
        <f t="shared" si="3"/>
        <v>0</v>
      </c>
      <c r="P67" s="111" t="s">
        <v>318</v>
      </c>
      <c r="Q67" s="111" t="s">
        <v>319</v>
      </c>
      <c r="R67" s="111" t="s">
        <v>320</v>
      </c>
      <c r="S67" s="111" t="s">
        <v>321</v>
      </c>
      <c r="V67" s="111" t="s">
        <v>322</v>
      </c>
      <c r="W67" s="111" t="s">
        <v>323</v>
      </c>
      <c r="X67" s="111" t="s">
        <v>324</v>
      </c>
      <c r="Y67" s="111" t="s">
        <v>325</v>
      </c>
    </row>
    <row r="68" spans="1:25" ht="49.5" customHeight="1" thickBot="1" thickTop="1">
      <c r="A68" s="328"/>
      <c r="B68" s="2" t="s">
        <v>50</v>
      </c>
      <c r="C68" s="3">
        <v>6</v>
      </c>
      <c r="D68" s="13"/>
      <c r="E68" s="1" t="s">
        <v>0</v>
      </c>
      <c r="F68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68" s="1" t="s">
        <v>15</v>
      </c>
      <c r="H68" s="13" t="s">
        <v>0</v>
      </c>
      <c r="I68" s="13" t="s">
        <v>0</v>
      </c>
      <c r="J68" s="1" t="s">
        <v>0</v>
      </c>
      <c r="K68" s="21">
        <f t="shared" si="3"/>
        <v>0</v>
      </c>
      <c r="P68" s="112" t="s">
        <v>318</v>
      </c>
      <c r="Q68" s="112" t="s">
        <v>319</v>
      </c>
      <c r="R68" s="112" t="s">
        <v>320</v>
      </c>
      <c r="S68" s="112" t="s">
        <v>321</v>
      </c>
      <c r="V68" s="112" t="s">
        <v>322</v>
      </c>
      <c r="W68" s="112" t="s">
        <v>323</v>
      </c>
      <c r="X68" s="112" t="s">
        <v>324</v>
      </c>
      <c r="Y68" s="112" t="s">
        <v>325</v>
      </c>
    </row>
    <row r="69" spans="1:24" ht="49.5" customHeight="1" thickBot="1" thickTop="1">
      <c r="A69" s="327" t="s">
        <v>74</v>
      </c>
      <c r="B69" s="2" t="s">
        <v>52</v>
      </c>
      <c r="C69" s="3">
        <v>7</v>
      </c>
      <c r="D69" s="13"/>
      <c r="E69" s="1" t="s">
        <v>0</v>
      </c>
      <c r="F69" s="1" t="str">
        <f>"załącznik nr 3 §2 ust. 2 "&amp;prawo!B7</f>
        <v>załącznik nr 3 §2 ust. 2 rozporządzenia Ministra Pracy i Polityki Socjalnej z dnia 26.09.1997r. w sprawie ogólnych przepisów bezpieczeństwa i higieny pracy (t.j. Dz. U. z 2003 r. nr 169, poz. 1650 z późn. zm.)</v>
      </c>
      <c r="G69" s="1" t="s">
        <v>15</v>
      </c>
      <c r="H69" s="13" t="s">
        <v>0</v>
      </c>
      <c r="I69" s="1" t="s">
        <v>0</v>
      </c>
      <c r="J69" s="1" t="s">
        <v>0</v>
      </c>
      <c r="K69" s="21">
        <f t="shared" si="3"/>
        <v>0</v>
      </c>
      <c r="P69" s="113" t="s">
        <v>327</v>
      </c>
      <c r="Q69" s="113" t="s">
        <v>328</v>
      </c>
      <c r="R69" s="113" t="s">
        <v>329</v>
      </c>
      <c r="V69" s="113" t="s">
        <v>330</v>
      </c>
      <c r="W69" s="113" t="s">
        <v>331</v>
      </c>
      <c r="X69" s="113" t="s">
        <v>332</v>
      </c>
    </row>
    <row r="70" spans="1:24" ht="49.5" customHeight="1" thickBot="1" thickTop="1">
      <c r="A70" s="331"/>
      <c r="B70" s="14" t="s">
        <v>53</v>
      </c>
      <c r="C70" s="7">
        <v>8</v>
      </c>
      <c r="D70" s="13"/>
      <c r="E70" s="8" t="s">
        <v>0</v>
      </c>
      <c r="F70" s="8" t="str">
        <f>"załącznik nr 3 §2 ust. 1 "&amp;prawo!B7</f>
        <v>załącznik nr 3 §2 ust. 1 rozporządzenia Ministra Pracy i Polityki Socjalnej z dnia 26.09.1997r. w sprawie ogólnych przepisów bezpieczeństwa i higieny pracy (t.j. Dz. U. z 2003 r. nr 169, poz. 1650 z późn. zm.)</v>
      </c>
      <c r="G70" s="8" t="s">
        <v>15</v>
      </c>
      <c r="H70" s="13" t="s">
        <v>0</v>
      </c>
      <c r="I70" s="1" t="s">
        <v>0</v>
      </c>
      <c r="J70" s="8" t="s">
        <v>0</v>
      </c>
      <c r="K70" s="21">
        <f t="shared" si="3"/>
        <v>0</v>
      </c>
      <c r="P70" s="114" t="s">
        <v>327</v>
      </c>
      <c r="Q70" s="114" t="s">
        <v>328</v>
      </c>
      <c r="R70" s="114" t="s">
        <v>329</v>
      </c>
      <c r="V70" s="114" t="s">
        <v>330</v>
      </c>
      <c r="W70" s="114" t="s">
        <v>331</v>
      </c>
      <c r="X70" s="114" t="s">
        <v>332</v>
      </c>
    </row>
    <row r="71" ht="49.5" customHeight="1" thickTop="1"/>
  </sheetData>
  <sheetProtection/>
  <mergeCells count="29">
    <mergeCell ref="A69:A70"/>
    <mergeCell ref="A51:K51"/>
    <mergeCell ref="A52:A53"/>
    <mergeCell ref="B52:C53"/>
    <mergeCell ref="A54:A57"/>
    <mergeCell ref="A58:K58"/>
    <mergeCell ref="A60:K60"/>
    <mergeCell ref="A43:A47"/>
    <mergeCell ref="A49:K49"/>
    <mergeCell ref="A61:A62"/>
    <mergeCell ref="B61:C62"/>
    <mergeCell ref="A65:A68"/>
    <mergeCell ref="A34:A35"/>
    <mergeCell ref="B34:C35"/>
    <mergeCell ref="A37:K37"/>
    <mergeCell ref="A39:K39"/>
    <mergeCell ref="A40:A41"/>
    <mergeCell ref="B40:C41"/>
    <mergeCell ref="A19:A20"/>
    <mergeCell ref="B19:C20"/>
    <mergeCell ref="A22:A26"/>
    <mergeCell ref="A27:A31"/>
    <mergeCell ref="A33:K33"/>
    <mergeCell ref="A16:K16"/>
    <mergeCell ref="A18:K18"/>
    <mergeCell ref="A1:K3"/>
    <mergeCell ref="A4:K4"/>
    <mergeCell ref="A5:A6"/>
    <mergeCell ref="B5:C6"/>
  </mergeCells>
  <dataValidations count="6">
    <dataValidation type="list" allowBlank="1" showInputMessage="1" showErrorMessage="1" sqref="D7:D15 D21:D31 D36 D42:D48 D54:D57 D63:D70">
      <formula1>$P$1:$P$3</formula1>
    </dataValidation>
    <dataValidation type="list" allowBlank="1" showInputMessage="1" showErrorMessage="1" sqref="H7:H15 H21:H31 H36 H42:H48 H54:H57 H63:H70">
      <formula1>$P$1:$P$2</formula1>
    </dataValidation>
    <dataValidation type="list" allowBlank="1" showInputMessage="1" showErrorMessage="1" sqref="I7:I15 I21:I30 I36 I42:I48">
      <formula1>$P$7:$S$7</formula1>
    </dataValidation>
    <dataValidation type="list" allowBlank="1" showInputMessage="1" showErrorMessage="1" sqref="I31">
      <formula1>$P$31:$Q$31</formula1>
    </dataValidation>
    <dataValidation type="list" allowBlank="1" showInputMessage="1" showErrorMessage="1" sqref="I54:I57 I63:I68">
      <formula1>$P$54:$S$54</formula1>
    </dataValidation>
    <dataValidation type="list" allowBlank="1" showInputMessage="1" showErrorMessage="1" sqref="I69:I70">
      <formula1>$P$69:$R$69</formula1>
    </dataValidation>
  </dataValidations>
  <printOptions/>
  <pageMargins left="0.7" right="0.2" top="0.2" bottom="0.2" header="0.5" footer="0.5"/>
  <pageSetup horizontalDpi="300" verticalDpi="300" orientation="portrait" scale="41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zoomScale="75" zoomScaleNormal="75" zoomScalePageLayoutView="0" workbookViewId="0" topLeftCell="A1">
      <selection activeCell="F69" sqref="F69"/>
    </sheetView>
  </sheetViews>
  <sheetFormatPr defaultColWidth="9.140625" defaultRowHeight="49.5" customHeight="1"/>
  <cols>
    <col min="1" max="1" width="22.28125" style="0" customWidth="1"/>
    <col min="2" max="2" width="55.57421875" style="0" customWidth="1"/>
    <col min="3" max="3" width="3.28125" style="0" customWidth="1"/>
    <col min="4" max="4" width="23.57421875" style="0" customWidth="1"/>
    <col min="5" max="5" width="22.7109375" style="0" customWidth="1"/>
    <col min="6" max="6" width="95.7109375" style="0" bestFit="1" customWidth="1"/>
    <col min="7" max="7" width="17.140625" style="0" customWidth="1"/>
    <col min="8" max="8" width="18.28125" style="0" customWidth="1"/>
    <col min="9" max="9" width="18.00390625" style="0" customWidth="1"/>
    <col min="10" max="10" width="20.7109375" style="0" customWidth="1"/>
    <col min="11" max="11" width="21.7109375" style="0" customWidth="1"/>
    <col min="15" max="26" width="0" style="0" hidden="1" customWidth="1"/>
  </cols>
  <sheetData>
    <row r="1" spans="1:16" ht="49.5" customHeight="1">
      <c r="A1" s="318" t="s">
        <v>342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P1" s="115" t="s">
        <v>316</v>
      </c>
    </row>
    <row r="2" spans="1:16" ht="49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P2" s="115" t="s">
        <v>317</v>
      </c>
    </row>
    <row r="3" spans="1:16" ht="49.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P3" s="20" t="s">
        <v>287</v>
      </c>
    </row>
    <row r="4" spans="1:11" ht="49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49.5" customHeight="1">
      <c r="A5" s="316" t="s">
        <v>147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</row>
    <row r="6" spans="1:11" ht="49.5" customHeight="1" thickBot="1">
      <c r="A6" s="320" t="s">
        <v>2</v>
      </c>
      <c r="B6" s="322" t="s">
        <v>3</v>
      </c>
      <c r="C6" s="323"/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25" ht="49.5" customHeight="1" thickBot="1" thickTop="1">
      <c r="A7" s="321"/>
      <c r="B7" s="324"/>
      <c r="C7" s="325"/>
      <c r="D7" s="311">
        <v>1</v>
      </c>
      <c r="E7" s="311">
        <v>2</v>
      </c>
      <c r="F7" s="311">
        <v>3</v>
      </c>
      <c r="G7" s="311">
        <v>4</v>
      </c>
      <c r="H7" s="311">
        <v>5</v>
      </c>
      <c r="I7" s="311">
        <v>6</v>
      </c>
      <c r="J7" s="311">
        <v>7</v>
      </c>
      <c r="K7" s="312">
        <v>8</v>
      </c>
      <c r="P7" s="116">
        <v>1</v>
      </c>
      <c r="Q7" s="116">
        <v>2</v>
      </c>
      <c r="R7" s="116">
        <v>3</v>
      </c>
      <c r="S7" s="116">
        <v>4</v>
      </c>
      <c r="T7" s="117"/>
      <c r="U7" s="117"/>
      <c r="V7" s="116">
        <v>1</v>
      </c>
      <c r="W7" s="116">
        <v>2</v>
      </c>
      <c r="X7" s="116">
        <v>3</v>
      </c>
      <c r="Y7" s="118">
        <v>4</v>
      </c>
    </row>
    <row r="8" spans="1:25" ht="49.5" customHeight="1" thickBot="1" thickTop="1">
      <c r="A8" s="330" t="s">
        <v>12</v>
      </c>
      <c r="B8" s="15" t="s">
        <v>13</v>
      </c>
      <c r="C8" s="4">
        <v>1</v>
      </c>
      <c r="D8" s="326"/>
      <c r="E8" s="13" t="s">
        <v>0</v>
      </c>
      <c r="F8" s="13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8" s="13" t="s">
        <v>15</v>
      </c>
      <c r="H8" s="326" t="s">
        <v>0</v>
      </c>
      <c r="I8" s="13"/>
      <c r="J8" s="13" t="s">
        <v>0</v>
      </c>
      <c r="K8" s="21">
        <f>IF(I8=P8,V8,IF(I8=Q8,W8,IF(I8=R8,X8,IF(I8=S8,Y8,IF(I8=" "," ",)))))</f>
        <v>0</v>
      </c>
      <c r="P8" s="120" t="s">
        <v>318</v>
      </c>
      <c r="Q8" s="120" t="s">
        <v>319</v>
      </c>
      <c r="R8" s="120" t="s">
        <v>320</v>
      </c>
      <c r="S8" s="120" t="s">
        <v>321</v>
      </c>
      <c r="T8" s="119"/>
      <c r="U8" s="119"/>
      <c r="V8" s="120" t="s">
        <v>322</v>
      </c>
      <c r="W8" s="120" t="s">
        <v>323</v>
      </c>
      <c r="X8" s="120" t="s">
        <v>324</v>
      </c>
      <c r="Y8" s="120" t="s">
        <v>325</v>
      </c>
    </row>
    <row r="9" spans="1:25" ht="49.5" customHeight="1" thickBot="1" thickTop="1">
      <c r="A9" s="329"/>
      <c r="B9" s="2" t="s">
        <v>16</v>
      </c>
      <c r="C9" s="3">
        <v>2</v>
      </c>
      <c r="D9" s="13"/>
      <c r="E9" s="1" t="s">
        <v>0</v>
      </c>
      <c r="F9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13" t="s">
        <v>0</v>
      </c>
      <c r="I9" s="13" t="s">
        <v>0</v>
      </c>
      <c r="J9" s="1" t="s">
        <v>0</v>
      </c>
      <c r="K9" s="21">
        <f>IF(I9=P9,V9,IF(I9=Q9,W9,IF(I9=R9,X9,IF(I9=S9,Y9,IF(I9=" "," ",)))))</f>
        <v>0</v>
      </c>
      <c r="P9" s="122" t="s">
        <v>318</v>
      </c>
      <c r="Q9" s="122" t="s">
        <v>319</v>
      </c>
      <c r="R9" s="122" t="s">
        <v>320</v>
      </c>
      <c r="S9" s="122" t="s">
        <v>321</v>
      </c>
      <c r="T9" s="121"/>
      <c r="U9" s="121"/>
      <c r="V9" s="122" t="s">
        <v>322</v>
      </c>
      <c r="W9" s="122" t="s">
        <v>323</v>
      </c>
      <c r="X9" s="122" t="s">
        <v>324</v>
      </c>
      <c r="Y9" s="122" t="s">
        <v>325</v>
      </c>
    </row>
    <row r="10" spans="1:25" ht="49.5" customHeight="1" thickBot="1" thickTop="1">
      <c r="A10" s="329"/>
      <c r="B10" s="2" t="s">
        <v>148</v>
      </c>
      <c r="C10" s="3">
        <v>3</v>
      </c>
      <c r="D10" s="13"/>
      <c r="E10" s="1" t="s">
        <v>0</v>
      </c>
      <c r="F10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13" t="s">
        <v>0</v>
      </c>
      <c r="I10" s="13" t="s">
        <v>0</v>
      </c>
      <c r="J10" s="1" t="s">
        <v>0</v>
      </c>
      <c r="K10" s="21">
        <f aca="true" t="shared" si="0" ref="K10:K16">IF(I10=P10,V10,IF(I10=Q10,W10,IF(I10=R10,X10,IF(I10=S10,Y10,IF(I10=" "," ",)))))</f>
        <v>0</v>
      </c>
      <c r="P10" s="124" t="s">
        <v>318</v>
      </c>
      <c r="Q10" s="124" t="s">
        <v>319</v>
      </c>
      <c r="R10" s="124" t="s">
        <v>320</v>
      </c>
      <c r="S10" s="124" t="s">
        <v>321</v>
      </c>
      <c r="T10" s="123"/>
      <c r="U10" s="123"/>
      <c r="V10" s="124" t="s">
        <v>322</v>
      </c>
      <c r="W10" s="124" t="s">
        <v>323</v>
      </c>
      <c r="X10" s="124" t="s">
        <v>324</v>
      </c>
      <c r="Y10" s="124" t="s">
        <v>325</v>
      </c>
    </row>
    <row r="11" spans="1:25" ht="49.5" customHeight="1" thickBot="1" thickTop="1">
      <c r="A11" s="329"/>
      <c r="B11" s="2" t="s">
        <v>18</v>
      </c>
      <c r="C11" s="3">
        <v>4</v>
      </c>
      <c r="D11" s="13"/>
      <c r="E11" s="1" t="s">
        <v>0</v>
      </c>
      <c r="F11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13" t="s">
        <v>0</v>
      </c>
      <c r="I11" s="13" t="s">
        <v>0</v>
      </c>
      <c r="J11" s="1" t="s">
        <v>0</v>
      </c>
      <c r="K11" s="21">
        <f t="shared" si="0"/>
        <v>0</v>
      </c>
      <c r="P11" s="126" t="s">
        <v>318</v>
      </c>
      <c r="Q11" s="126" t="s">
        <v>319</v>
      </c>
      <c r="R11" s="126" t="s">
        <v>320</v>
      </c>
      <c r="S11" s="126" t="s">
        <v>321</v>
      </c>
      <c r="T11" s="125"/>
      <c r="U11" s="125"/>
      <c r="V11" s="126" t="s">
        <v>322</v>
      </c>
      <c r="W11" s="126" t="s">
        <v>323</v>
      </c>
      <c r="X11" s="126" t="s">
        <v>324</v>
      </c>
      <c r="Y11" s="126" t="s">
        <v>325</v>
      </c>
    </row>
    <row r="12" spans="1:25" ht="49.5" customHeight="1" thickBot="1" thickTop="1">
      <c r="A12" s="329"/>
      <c r="B12" s="2" t="s">
        <v>19</v>
      </c>
      <c r="C12" s="3">
        <v>5</v>
      </c>
      <c r="D12" s="13"/>
      <c r="E12" s="1" t="s">
        <v>0</v>
      </c>
      <c r="F12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13" t="s">
        <v>0</v>
      </c>
      <c r="I12" s="13" t="s">
        <v>0</v>
      </c>
      <c r="J12" s="1" t="s">
        <v>0</v>
      </c>
      <c r="K12" s="21">
        <f t="shared" si="0"/>
        <v>0</v>
      </c>
      <c r="P12" s="128" t="s">
        <v>318</v>
      </c>
      <c r="Q12" s="128" t="s">
        <v>319</v>
      </c>
      <c r="R12" s="128" t="s">
        <v>320</v>
      </c>
      <c r="S12" s="128" t="s">
        <v>321</v>
      </c>
      <c r="T12" s="127"/>
      <c r="U12" s="127"/>
      <c r="V12" s="128" t="s">
        <v>322</v>
      </c>
      <c r="W12" s="128" t="s">
        <v>323</v>
      </c>
      <c r="X12" s="128" t="s">
        <v>324</v>
      </c>
      <c r="Y12" s="128" t="s">
        <v>325</v>
      </c>
    </row>
    <row r="13" spans="1:25" ht="49.5" customHeight="1" thickBot="1" thickTop="1">
      <c r="A13" s="328"/>
      <c r="B13" s="2" t="s">
        <v>20</v>
      </c>
      <c r="C13" s="3">
        <v>6</v>
      </c>
      <c r="D13" s="13"/>
      <c r="E13" s="1" t="s">
        <v>0</v>
      </c>
      <c r="F13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3" s="1" t="s">
        <v>15</v>
      </c>
      <c r="H13" s="13" t="s">
        <v>0</v>
      </c>
      <c r="I13" s="13" t="s">
        <v>0</v>
      </c>
      <c r="J13" s="1" t="s">
        <v>0</v>
      </c>
      <c r="K13" s="21">
        <f t="shared" si="0"/>
        <v>0</v>
      </c>
      <c r="P13" s="130" t="s">
        <v>318</v>
      </c>
      <c r="Q13" s="130" t="s">
        <v>319</v>
      </c>
      <c r="R13" s="130" t="s">
        <v>320</v>
      </c>
      <c r="S13" s="130" t="s">
        <v>321</v>
      </c>
      <c r="T13" s="129"/>
      <c r="U13" s="129"/>
      <c r="V13" s="130" t="s">
        <v>322</v>
      </c>
      <c r="W13" s="130" t="s">
        <v>323</v>
      </c>
      <c r="X13" s="130" t="s">
        <v>324</v>
      </c>
      <c r="Y13" s="130" t="s">
        <v>325</v>
      </c>
    </row>
    <row r="14" spans="1:25" ht="49.5" customHeight="1" thickBot="1" thickTop="1">
      <c r="A14" s="327" t="s">
        <v>21</v>
      </c>
      <c r="B14" s="2" t="s">
        <v>149</v>
      </c>
      <c r="C14" s="3">
        <v>7</v>
      </c>
      <c r="D14" s="13"/>
      <c r="E14" s="1" t="s">
        <v>0</v>
      </c>
      <c r="F14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4" s="1" t="s">
        <v>15</v>
      </c>
      <c r="H14" s="13" t="s">
        <v>0</v>
      </c>
      <c r="I14" s="13" t="s">
        <v>0</v>
      </c>
      <c r="J14" s="1" t="s">
        <v>0</v>
      </c>
      <c r="K14" s="21">
        <f t="shared" si="0"/>
        <v>0</v>
      </c>
      <c r="P14" s="132" t="s">
        <v>318</v>
      </c>
      <c r="Q14" s="132" t="s">
        <v>319</v>
      </c>
      <c r="R14" s="132" t="s">
        <v>320</v>
      </c>
      <c r="S14" s="132" t="s">
        <v>321</v>
      </c>
      <c r="T14" s="131"/>
      <c r="U14" s="131"/>
      <c r="V14" s="132" t="s">
        <v>322</v>
      </c>
      <c r="W14" s="132" t="s">
        <v>323</v>
      </c>
      <c r="X14" s="132" t="s">
        <v>324</v>
      </c>
      <c r="Y14" s="132" t="s">
        <v>325</v>
      </c>
    </row>
    <row r="15" spans="1:25" ht="49.5" customHeight="1" thickBot="1" thickTop="1">
      <c r="A15" s="329"/>
      <c r="B15" s="2" t="s">
        <v>150</v>
      </c>
      <c r="C15" s="3">
        <v>8</v>
      </c>
      <c r="D15" s="13"/>
      <c r="E15" s="1" t="s">
        <v>0</v>
      </c>
      <c r="F15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5" s="1" t="s">
        <v>15</v>
      </c>
      <c r="H15" s="13" t="s">
        <v>0</v>
      </c>
      <c r="I15" s="13"/>
      <c r="J15" s="1" t="s">
        <v>0</v>
      </c>
      <c r="K15" s="21">
        <f t="shared" si="0"/>
        <v>0</v>
      </c>
      <c r="P15" s="134" t="s">
        <v>318</v>
      </c>
      <c r="Q15" s="134" t="s">
        <v>319</v>
      </c>
      <c r="R15" s="134" t="s">
        <v>320</v>
      </c>
      <c r="S15" s="134" t="s">
        <v>321</v>
      </c>
      <c r="T15" s="133"/>
      <c r="U15" s="133"/>
      <c r="V15" s="134" t="s">
        <v>322</v>
      </c>
      <c r="W15" s="134" t="s">
        <v>323</v>
      </c>
      <c r="X15" s="134" t="s">
        <v>324</v>
      </c>
      <c r="Y15" s="134" t="s">
        <v>325</v>
      </c>
    </row>
    <row r="16" spans="1:25" ht="49.5" customHeight="1" thickBot="1" thickTop="1">
      <c r="A16" s="331"/>
      <c r="B16" s="14" t="s">
        <v>151</v>
      </c>
      <c r="C16" s="7">
        <v>9</v>
      </c>
      <c r="D16" s="13"/>
      <c r="E16" s="8" t="s">
        <v>0</v>
      </c>
      <c r="F16" s="8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6" s="8" t="s">
        <v>15</v>
      </c>
      <c r="H16" s="13" t="s">
        <v>0</v>
      </c>
      <c r="I16" s="13" t="s">
        <v>0</v>
      </c>
      <c r="J16" s="8" t="s">
        <v>0</v>
      </c>
      <c r="K16" s="21">
        <f t="shared" si="0"/>
        <v>0</v>
      </c>
      <c r="P16" s="136" t="s">
        <v>318</v>
      </c>
      <c r="Q16" s="136" t="s">
        <v>319</v>
      </c>
      <c r="R16" s="136" t="s">
        <v>320</v>
      </c>
      <c r="S16" s="136" t="s">
        <v>321</v>
      </c>
      <c r="T16" s="135"/>
      <c r="U16" s="135"/>
      <c r="V16" s="136" t="s">
        <v>322</v>
      </c>
      <c r="W16" s="136" t="s">
        <v>323</v>
      </c>
      <c r="X16" s="136" t="s">
        <v>324</v>
      </c>
      <c r="Y16" s="136" t="s">
        <v>325</v>
      </c>
    </row>
    <row r="17" spans="1:11" ht="49.5" customHeight="1" thickTop="1">
      <c r="A17" s="314" t="s">
        <v>152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9" spans="1:11" ht="49.5" customHeight="1">
      <c r="A19" s="316" t="s">
        <v>153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</row>
    <row r="20" spans="1:11" ht="49.5" customHeight="1" thickBot="1">
      <c r="A20" s="320" t="s">
        <v>2</v>
      </c>
      <c r="B20" s="322" t="s">
        <v>3</v>
      </c>
      <c r="C20" s="323"/>
      <c r="D20" s="309" t="s">
        <v>4</v>
      </c>
      <c r="E20" s="309" t="s">
        <v>5</v>
      </c>
      <c r="F20" s="309" t="s">
        <v>6</v>
      </c>
      <c r="G20" s="309" t="s">
        <v>7</v>
      </c>
      <c r="H20" s="309" t="s">
        <v>27</v>
      </c>
      <c r="I20" s="309" t="s">
        <v>9</v>
      </c>
      <c r="J20" s="309" t="s">
        <v>10</v>
      </c>
      <c r="K20" s="310" t="s">
        <v>11</v>
      </c>
    </row>
    <row r="21" spans="1:11" ht="49.5" customHeight="1" thickBot="1" thickTop="1">
      <c r="A21" s="321"/>
      <c r="B21" s="324"/>
      <c r="C21" s="325"/>
      <c r="D21" s="311">
        <v>1</v>
      </c>
      <c r="E21" s="311">
        <v>2</v>
      </c>
      <c r="F21" s="311">
        <v>3</v>
      </c>
      <c r="G21" s="311">
        <v>4</v>
      </c>
      <c r="H21" s="311">
        <v>5</v>
      </c>
      <c r="I21" s="311">
        <v>6</v>
      </c>
      <c r="J21" s="311">
        <v>7</v>
      </c>
      <c r="K21" s="312">
        <v>8</v>
      </c>
    </row>
    <row r="22" spans="1:25" ht="49.5" customHeight="1" thickBot="1" thickTop="1">
      <c r="A22" s="330" t="s">
        <v>154</v>
      </c>
      <c r="B22" s="15" t="s">
        <v>155</v>
      </c>
      <c r="C22" s="4">
        <v>1</v>
      </c>
      <c r="D22" s="13"/>
      <c r="E22" s="13" t="s">
        <v>0</v>
      </c>
      <c r="F22" s="13" t="str">
        <f>"załącznik Nr 1 część XI, ust. 5, załącznik nr 3 ust. 3 "&amp;prawo!B5</f>
        <v>załącznik Nr 1 część XI, ust. 5,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2" s="13" t="s">
        <v>15</v>
      </c>
      <c r="H22" s="13" t="s">
        <v>0</v>
      </c>
      <c r="I22" s="13" t="s">
        <v>0</v>
      </c>
      <c r="J22" s="13" t="s">
        <v>0</v>
      </c>
      <c r="K22" s="21">
        <f aca="true" t="shared" si="1" ref="K22:K28">IF(I22=P22,V22,IF(I22=Q22,W22,IF(I22=R22,X22,IF(I22=S22,Y22,IF(I22=" "," ",)))))</f>
        <v>0</v>
      </c>
      <c r="P22" s="138" t="s">
        <v>318</v>
      </c>
      <c r="Q22" s="138" t="s">
        <v>319</v>
      </c>
      <c r="R22" s="138" t="s">
        <v>320</v>
      </c>
      <c r="S22" s="138" t="s">
        <v>321</v>
      </c>
      <c r="T22" s="137"/>
      <c r="U22" s="137"/>
      <c r="V22" s="138" t="s">
        <v>322</v>
      </c>
      <c r="W22" s="138" t="s">
        <v>323</v>
      </c>
      <c r="X22" s="138" t="s">
        <v>324</v>
      </c>
      <c r="Y22" s="138" t="s">
        <v>325</v>
      </c>
    </row>
    <row r="23" spans="1:25" ht="49.5" customHeight="1" thickBot="1" thickTop="1">
      <c r="A23" s="328"/>
      <c r="B23" s="2" t="s">
        <v>156</v>
      </c>
      <c r="C23" s="3">
        <v>2</v>
      </c>
      <c r="D23" s="13"/>
      <c r="E23" s="1" t="s">
        <v>0</v>
      </c>
      <c r="F23" s="1" t="str">
        <f>"załącznik Nr 1 część XI ust. 5, załącznik nr 3 ust. 3 "&amp;prawo!B5</f>
        <v>załącznik Nr 1 część XI ust. 5,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3" s="1" t="s">
        <v>15</v>
      </c>
      <c r="H23" s="13" t="s">
        <v>0</v>
      </c>
      <c r="I23" s="13" t="s">
        <v>0</v>
      </c>
      <c r="J23" s="1" t="s">
        <v>0</v>
      </c>
      <c r="K23" s="21">
        <f t="shared" si="1"/>
        <v>0</v>
      </c>
      <c r="P23" s="140" t="s">
        <v>318</v>
      </c>
      <c r="Q23" s="140" t="s">
        <v>319</v>
      </c>
      <c r="R23" s="140" t="s">
        <v>320</v>
      </c>
      <c r="S23" s="140" t="s">
        <v>321</v>
      </c>
      <c r="T23" s="139"/>
      <c r="U23" s="139"/>
      <c r="V23" s="140" t="s">
        <v>322</v>
      </c>
      <c r="W23" s="140" t="s">
        <v>323</v>
      </c>
      <c r="X23" s="140" t="s">
        <v>324</v>
      </c>
      <c r="Y23" s="140" t="s">
        <v>325</v>
      </c>
    </row>
    <row r="24" spans="1:25" ht="49.5" customHeight="1" thickBot="1" thickTop="1">
      <c r="A24" s="327" t="s">
        <v>157</v>
      </c>
      <c r="B24" s="2" t="s">
        <v>158</v>
      </c>
      <c r="C24" s="3">
        <v>3</v>
      </c>
      <c r="D24" s="13"/>
      <c r="E24" s="1" t="s">
        <v>0</v>
      </c>
      <c r="F24" s="1" t="str">
        <f>"załącznik Nr 1 część XI ust. 6, załącznik nr 3 ust. 3  "&amp;prawo!B5</f>
        <v>załącznik Nr 1 część XI ust. 6, załącznik nr 3 ust. 3  rozporządzenia Ministra Zdrowia z dnia 26 czerwca 2012 r. w sprawie szczegółowych wymagań, jakim powinny odpowiadać pomieszczenia i urządzenia podmiotu wykonującego działalność leczniczą (Dz.U. z 2012 r. poz. 739);</v>
      </c>
      <c r="G24" s="1" t="s">
        <v>15</v>
      </c>
      <c r="H24" s="13" t="s">
        <v>0</v>
      </c>
      <c r="I24" s="13" t="s">
        <v>0</v>
      </c>
      <c r="J24" s="1" t="s">
        <v>0</v>
      </c>
      <c r="K24" s="21">
        <f t="shared" si="1"/>
        <v>0</v>
      </c>
      <c r="P24" s="142" t="s">
        <v>318</v>
      </c>
      <c r="Q24" s="142" t="s">
        <v>319</v>
      </c>
      <c r="R24" s="142" t="s">
        <v>320</v>
      </c>
      <c r="S24" s="142" t="s">
        <v>321</v>
      </c>
      <c r="T24" s="141"/>
      <c r="U24" s="141"/>
      <c r="V24" s="142" t="s">
        <v>322</v>
      </c>
      <c r="W24" s="142" t="s">
        <v>323</v>
      </c>
      <c r="X24" s="142" t="s">
        <v>324</v>
      </c>
      <c r="Y24" s="142" t="s">
        <v>325</v>
      </c>
    </row>
    <row r="25" spans="1:25" ht="49.5" customHeight="1" thickBot="1" thickTop="1">
      <c r="A25" s="328"/>
      <c r="B25" s="2" t="s">
        <v>159</v>
      </c>
      <c r="C25" s="3">
        <v>4</v>
      </c>
      <c r="D25" s="13"/>
      <c r="E25" s="1" t="s">
        <v>0</v>
      </c>
      <c r="F25" s="1" t="str">
        <f>"załącznik nr 1 część XI ust. 6, załącznik nr 3 ust. 3 "&amp;prawo!B5</f>
        <v>załącznik nr 1 część XI ust. 6,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5" s="1" t="s">
        <v>15</v>
      </c>
      <c r="H25" s="13" t="s">
        <v>0</v>
      </c>
      <c r="I25" s="13" t="s">
        <v>0</v>
      </c>
      <c r="J25" s="1" t="s">
        <v>0</v>
      </c>
      <c r="K25" s="21">
        <f t="shared" si="1"/>
        <v>0</v>
      </c>
      <c r="P25" s="144" t="s">
        <v>318</v>
      </c>
      <c r="Q25" s="144" t="s">
        <v>319</v>
      </c>
      <c r="R25" s="144" t="s">
        <v>320</v>
      </c>
      <c r="S25" s="144" t="s">
        <v>321</v>
      </c>
      <c r="T25" s="143"/>
      <c r="U25" s="143"/>
      <c r="V25" s="144" t="s">
        <v>322</v>
      </c>
      <c r="W25" s="144" t="s">
        <v>323</v>
      </c>
      <c r="X25" s="144" t="s">
        <v>324</v>
      </c>
      <c r="Y25" s="144" t="s">
        <v>325</v>
      </c>
    </row>
    <row r="26" spans="1:25" ht="49.5" customHeight="1" thickBot="1" thickTop="1">
      <c r="A26" s="5" t="s">
        <v>160</v>
      </c>
      <c r="B26" s="2" t="s">
        <v>161</v>
      </c>
      <c r="C26" s="3">
        <v>5</v>
      </c>
      <c r="D26" s="13"/>
      <c r="E26" s="1" t="s">
        <v>0</v>
      </c>
      <c r="F26" s="1" t="str">
        <f>"załącznik nr 1 część XI ust. 14, załącznik nr 3 ust. 3 "&amp;prawo!B5</f>
        <v>załącznik nr 1 część XI ust. 14,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6" s="1" t="s">
        <v>15</v>
      </c>
      <c r="H26" s="13" t="s">
        <v>0</v>
      </c>
      <c r="I26" s="13" t="s">
        <v>0</v>
      </c>
      <c r="J26" s="1" t="s">
        <v>0</v>
      </c>
      <c r="K26" s="21">
        <f t="shared" si="1"/>
        <v>0</v>
      </c>
      <c r="P26" s="146" t="s">
        <v>318</v>
      </c>
      <c r="Q26" s="146" t="s">
        <v>319</v>
      </c>
      <c r="R26" s="146" t="s">
        <v>320</v>
      </c>
      <c r="S26" s="146" t="s">
        <v>321</v>
      </c>
      <c r="T26" s="145"/>
      <c r="U26" s="145"/>
      <c r="V26" s="146" t="s">
        <v>322</v>
      </c>
      <c r="W26" s="146" t="s">
        <v>323</v>
      </c>
      <c r="X26" s="146" t="s">
        <v>324</v>
      </c>
      <c r="Y26" s="146" t="s">
        <v>325</v>
      </c>
    </row>
    <row r="27" spans="1:25" ht="49.5" customHeight="1" thickBot="1" thickTop="1">
      <c r="A27" s="5" t="s">
        <v>162</v>
      </c>
      <c r="B27" s="2" t="s">
        <v>163</v>
      </c>
      <c r="C27" s="3">
        <v>6</v>
      </c>
      <c r="D27" s="13"/>
      <c r="E27" s="1" t="s">
        <v>0</v>
      </c>
      <c r="F27" s="1" t="str">
        <f>"załącznik Nr 1 część XI ust. 7 pkt 1-3, załącznik nr 3 ust. 3 "&amp;prawo!B5</f>
        <v>załącznik Nr 1 część XI ust. 7 pkt 1-3,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7" s="1" t="s">
        <v>15</v>
      </c>
      <c r="H27" s="13" t="s">
        <v>0</v>
      </c>
      <c r="I27" s="13" t="s">
        <v>0</v>
      </c>
      <c r="J27" s="1" t="s">
        <v>0</v>
      </c>
      <c r="K27" s="21">
        <f t="shared" si="1"/>
        <v>0</v>
      </c>
      <c r="P27" s="148" t="s">
        <v>318</v>
      </c>
      <c r="Q27" s="148" t="s">
        <v>319</v>
      </c>
      <c r="R27" s="148" t="s">
        <v>320</v>
      </c>
      <c r="S27" s="148" t="s">
        <v>321</v>
      </c>
      <c r="T27" s="147"/>
      <c r="U27" s="147"/>
      <c r="V27" s="148" t="s">
        <v>322</v>
      </c>
      <c r="W27" s="148" t="s">
        <v>323</v>
      </c>
      <c r="X27" s="148" t="s">
        <v>324</v>
      </c>
      <c r="Y27" s="148" t="s">
        <v>325</v>
      </c>
    </row>
    <row r="28" spans="1:25" ht="49.5" customHeight="1" thickBot="1" thickTop="1">
      <c r="A28" s="6" t="s">
        <v>164</v>
      </c>
      <c r="B28" s="14" t="s">
        <v>165</v>
      </c>
      <c r="C28" s="7">
        <v>7</v>
      </c>
      <c r="D28" s="13"/>
      <c r="E28" s="8" t="s">
        <v>0</v>
      </c>
      <c r="F28" s="8" t="str">
        <f>"załącznik Nr 1 część XI ust. 9, załącznik nr 3 ust. 3 "&amp;prawo!B5</f>
        <v>załącznik Nr 1 część XI ust. 9,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8" s="8" t="s">
        <v>15</v>
      </c>
      <c r="H28" s="13" t="s">
        <v>0</v>
      </c>
      <c r="I28" s="13" t="s">
        <v>0</v>
      </c>
      <c r="J28" s="8" t="s">
        <v>0</v>
      </c>
      <c r="K28" s="21">
        <f t="shared" si="1"/>
        <v>0</v>
      </c>
      <c r="P28" s="150" t="s">
        <v>318</v>
      </c>
      <c r="Q28" s="150" t="s">
        <v>319</v>
      </c>
      <c r="R28" s="150" t="s">
        <v>320</v>
      </c>
      <c r="S28" s="150" t="s">
        <v>321</v>
      </c>
      <c r="T28" s="149"/>
      <c r="U28" s="149"/>
      <c r="V28" s="150" t="s">
        <v>322</v>
      </c>
      <c r="W28" s="150" t="s">
        <v>323</v>
      </c>
      <c r="X28" s="150" t="s">
        <v>324</v>
      </c>
      <c r="Y28" s="150" t="s">
        <v>325</v>
      </c>
    </row>
    <row r="29" spans="1:11" ht="49.5" customHeight="1" thickTop="1">
      <c r="A29" s="314" t="s">
        <v>166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</row>
    <row r="31" spans="1:11" ht="49.5" customHeight="1">
      <c r="A31" s="316" t="s">
        <v>167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</row>
    <row r="32" spans="1:11" ht="49.5" customHeight="1" thickBot="1">
      <c r="A32" s="320" t="s">
        <v>2</v>
      </c>
      <c r="B32" s="322" t="s">
        <v>3</v>
      </c>
      <c r="C32" s="323"/>
      <c r="D32" s="309" t="s">
        <v>4</v>
      </c>
      <c r="E32" s="309" t="s">
        <v>5</v>
      </c>
      <c r="F32" s="309" t="s">
        <v>6</v>
      </c>
      <c r="G32" s="309" t="s">
        <v>7</v>
      </c>
      <c r="H32" s="309" t="s">
        <v>27</v>
      </c>
      <c r="I32" s="309" t="s">
        <v>9</v>
      </c>
      <c r="J32" s="309" t="s">
        <v>10</v>
      </c>
      <c r="K32" s="310" t="s">
        <v>11</v>
      </c>
    </row>
    <row r="33" spans="1:11" ht="49.5" customHeight="1" thickBot="1" thickTop="1">
      <c r="A33" s="321"/>
      <c r="B33" s="324"/>
      <c r="C33" s="325"/>
      <c r="D33" s="311">
        <v>1</v>
      </c>
      <c r="E33" s="311">
        <v>2</v>
      </c>
      <c r="F33" s="311">
        <v>3</v>
      </c>
      <c r="G33" s="311">
        <v>4</v>
      </c>
      <c r="H33" s="311">
        <v>5</v>
      </c>
      <c r="I33" s="311">
        <v>6</v>
      </c>
      <c r="J33" s="311">
        <v>7</v>
      </c>
      <c r="K33" s="312">
        <v>8</v>
      </c>
    </row>
    <row r="34" spans="1:25" ht="49.5" customHeight="1" thickBot="1" thickTop="1">
      <c r="A34" s="330" t="s">
        <v>168</v>
      </c>
      <c r="B34" s="15" t="s">
        <v>169</v>
      </c>
      <c r="C34" s="4">
        <v>1</v>
      </c>
      <c r="D34" s="13"/>
      <c r="E34" s="13" t="s">
        <v>0</v>
      </c>
      <c r="F34" s="13" t="str">
        <f>"załącznik nr 1 część XI ust. 10, załącznik nr 3 ust. 3 "&amp;prawo!B5</f>
        <v>załącznik nr 1 część XI ust. 10,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34" s="13" t="s">
        <v>15</v>
      </c>
      <c r="H34" s="13" t="s">
        <v>0</v>
      </c>
      <c r="I34" s="13" t="s">
        <v>0</v>
      </c>
      <c r="J34" s="13" t="s">
        <v>0</v>
      </c>
      <c r="K34" s="21">
        <f aca="true" t="shared" si="2" ref="K34:K43">IF(I34=P34,V34,IF(I34=Q34,W34,IF(I34=R34,X34,IF(I34=S34,Y34,IF(I34=" "," ",)))))</f>
        <v>0</v>
      </c>
      <c r="P34" s="152" t="s">
        <v>318</v>
      </c>
      <c r="Q34" s="152" t="s">
        <v>319</v>
      </c>
      <c r="R34" s="152" t="s">
        <v>320</v>
      </c>
      <c r="S34" s="152" t="s">
        <v>321</v>
      </c>
      <c r="T34" s="151"/>
      <c r="U34" s="151"/>
      <c r="V34" s="152" t="s">
        <v>322</v>
      </c>
      <c r="W34" s="152" t="s">
        <v>323</v>
      </c>
      <c r="X34" s="152" t="s">
        <v>324</v>
      </c>
      <c r="Y34" s="152" t="s">
        <v>325</v>
      </c>
    </row>
    <row r="35" spans="1:25" ht="49.5" customHeight="1" thickBot="1" thickTop="1">
      <c r="A35" s="328"/>
      <c r="B35" s="2" t="s">
        <v>170</v>
      </c>
      <c r="C35" s="3">
        <v>2</v>
      </c>
      <c r="D35" s="13"/>
      <c r="E35" s="1" t="s">
        <v>0</v>
      </c>
      <c r="F35" s="1" t="str">
        <f>"załącznik nr 1 część XI ust. 10, załącznik nr 3 ust. 3 "&amp;prawo!B5</f>
        <v>załącznik nr 1 część XI ust. 10,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35" s="1" t="s">
        <v>15</v>
      </c>
      <c r="H35" s="13" t="s">
        <v>0</v>
      </c>
      <c r="I35" s="13" t="s">
        <v>0</v>
      </c>
      <c r="J35" s="1" t="s">
        <v>0</v>
      </c>
      <c r="K35" s="21">
        <f t="shared" si="2"/>
        <v>0</v>
      </c>
      <c r="P35" s="154" t="s">
        <v>318</v>
      </c>
      <c r="Q35" s="154" t="s">
        <v>319</v>
      </c>
      <c r="R35" s="154" t="s">
        <v>320</v>
      </c>
      <c r="S35" s="154" t="s">
        <v>321</v>
      </c>
      <c r="T35" s="153"/>
      <c r="U35" s="153"/>
      <c r="V35" s="154" t="s">
        <v>322</v>
      </c>
      <c r="W35" s="154" t="s">
        <v>323</v>
      </c>
      <c r="X35" s="154" t="s">
        <v>324</v>
      </c>
      <c r="Y35" s="154" t="s">
        <v>325</v>
      </c>
    </row>
    <row r="36" spans="1:25" ht="49.5" customHeight="1" thickBot="1" thickTop="1">
      <c r="A36" s="5" t="s">
        <v>171</v>
      </c>
      <c r="B36" s="2" t="s">
        <v>172</v>
      </c>
      <c r="C36" s="3">
        <v>3</v>
      </c>
      <c r="D36" s="13"/>
      <c r="E36" s="1" t="s">
        <v>0</v>
      </c>
      <c r="F36" s="1" t="str">
        <f>"załącznik nr 1 częśc XI ust. 10, załącznik nr 3 ust. 3 "&amp;prawo!B5</f>
        <v>załącznik nr 1 częśc XI ust. 10,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36" s="1" t="s">
        <v>15</v>
      </c>
      <c r="H36" s="13" t="s">
        <v>0</v>
      </c>
      <c r="I36" s="13" t="s">
        <v>0</v>
      </c>
      <c r="J36" s="1" t="s">
        <v>0</v>
      </c>
      <c r="K36" s="21">
        <f t="shared" si="2"/>
        <v>0</v>
      </c>
      <c r="P36" s="156" t="s">
        <v>318</v>
      </c>
      <c r="Q36" s="156" t="s">
        <v>319</v>
      </c>
      <c r="R36" s="156" t="s">
        <v>320</v>
      </c>
      <c r="S36" s="156" t="s">
        <v>321</v>
      </c>
      <c r="T36" s="155"/>
      <c r="U36" s="155"/>
      <c r="V36" s="156" t="s">
        <v>322</v>
      </c>
      <c r="W36" s="156" t="s">
        <v>323</v>
      </c>
      <c r="X36" s="156" t="s">
        <v>324</v>
      </c>
      <c r="Y36" s="156" t="s">
        <v>325</v>
      </c>
    </row>
    <row r="37" spans="1:25" ht="49.5" customHeight="1" thickBot="1" thickTop="1">
      <c r="A37" s="327" t="s">
        <v>173</v>
      </c>
      <c r="B37" s="2" t="s">
        <v>174</v>
      </c>
      <c r="C37" s="3">
        <v>4</v>
      </c>
      <c r="D37" s="13"/>
      <c r="E37" s="1" t="s">
        <v>0</v>
      </c>
      <c r="F37" s="1" t="str">
        <f>"§22, pkt 1 "&amp;prawo!B5</f>
        <v>§22, pkt 1 rozporządzenia Ministra Zdrowia z dnia 26 czerwca 2012 r. w sprawie szczegółowych wymagań, jakim powinny odpowiadać pomieszczenia i urządzenia podmiotu wykonującego działalność leczniczą (Dz.U. z 2012 r. poz. 739);</v>
      </c>
      <c r="G37" s="1" t="s">
        <v>15</v>
      </c>
      <c r="H37" s="13" t="s">
        <v>0</v>
      </c>
      <c r="I37" s="13" t="s">
        <v>0</v>
      </c>
      <c r="J37" s="1" t="s">
        <v>0</v>
      </c>
      <c r="K37" s="21">
        <f t="shared" si="2"/>
        <v>0</v>
      </c>
      <c r="P37" s="158" t="s">
        <v>318</v>
      </c>
      <c r="Q37" s="158" t="s">
        <v>319</v>
      </c>
      <c r="R37" s="158" t="s">
        <v>320</v>
      </c>
      <c r="S37" s="158" t="s">
        <v>321</v>
      </c>
      <c r="T37" s="157"/>
      <c r="U37" s="157"/>
      <c r="V37" s="158" t="s">
        <v>322</v>
      </c>
      <c r="W37" s="158" t="s">
        <v>323</v>
      </c>
      <c r="X37" s="158" t="s">
        <v>324</v>
      </c>
      <c r="Y37" s="158" t="s">
        <v>325</v>
      </c>
    </row>
    <row r="38" spans="1:25" ht="49.5" customHeight="1" thickBot="1" thickTop="1">
      <c r="A38" s="329"/>
      <c r="B38" s="2" t="s">
        <v>175</v>
      </c>
      <c r="C38" s="3">
        <v>5</v>
      </c>
      <c r="D38" s="13"/>
      <c r="E38" s="1" t="s">
        <v>0</v>
      </c>
      <c r="F38" s="1" t="str">
        <f>"§22, pkt 2 "&amp;prawo!B5</f>
        <v>§22, pkt 2 rozporządzenia Ministra Zdrowia z dnia 26 czerwca 2012 r. w sprawie szczegółowych wymagań, jakim powinny odpowiadać pomieszczenia i urządzenia podmiotu wykonującego działalność leczniczą (Dz.U. z 2012 r. poz. 739);</v>
      </c>
      <c r="G38" s="1" t="s">
        <v>15</v>
      </c>
      <c r="H38" s="13" t="s">
        <v>0</v>
      </c>
      <c r="I38" s="13" t="s">
        <v>0</v>
      </c>
      <c r="J38" s="1" t="s">
        <v>0</v>
      </c>
      <c r="K38" s="21">
        <f t="shared" si="2"/>
        <v>0</v>
      </c>
      <c r="P38" s="160" t="s">
        <v>318</v>
      </c>
      <c r="Q38" s="160" t="s">
        <v>319</v>
      </c>
      <c r="R38" s="160" t="s">
        <v>320</v>
      </c>
      <c r="S38" s="160" t="s">
        <v>321</v>
      </c>
      <c r="T38" s="159"/>
      <c r="U38" s="159"/>
      <c r="V38" s="160" t="s">
        <v>322</v>
      </c>
      <c r="W38" s="160" t="s">
        <v>323</v>
      </c>
      <c r="X38" s="160" t="s">
        <v>324</v>
      </c>
      <c r="Y38" s="160" t="s">
        <v>325</v>
      </c>
    </row>
    <row r="39" spans="1:25" ht="49.5" customHeight="1" thickBot="1" thickTop="1">
      <c r="A39" s="329"/>
      <c r="B39" s="2" t="s">
        <v>176</v>
      </c>
      <c r="C39" s="3">
        <v>6</v>
      </c>
      <c r="D39" s="13"/>
      <c r="E39" s="1" t="s">
        <v>0</v>
      </c>
      <c r="F39" s="1" t="str">
        <f>"§22, pkt 3 "&amp;prawo!B5</f>
        <v>§22, pkt 3 rozporządzenia Ministra Zdrowia z dnia 26 czerwca 2012 r. w sprawie szczegółowych wymagań, jakim powinny odpowiadać pomieszczenia i urządzenia podmiotu wykonującego działalność leczniczą (Dz.U. z 2012 r. poz. 739);</v>
      </c>
      <c r="G39" s="1" t="s">
        <v>15</v>
      </c>
      <c r="H39" s="13" t="s">
        <v>0</v>
      </c>
      <c r="I39" s="13" t="s">
        <v>0</v>
      </c>
      <c r="J39" s="1" t="s">
        <v>0</v>
      </c>
      <c r="K39" s="21">
        <f t="shared" si="2"/>
        <v>0</v>
      </c>
      <c r="P39" s="162" t="s">
        <v>318</v>
      </c>
      <c r="Q39" s="162" t="s">
        <v>319</v>
      </c>
      <c r="R39" s="162" t="s">
        <v>320</v>
      </c>
      <c r="S39" s="162" t="s">
        <v>321</v>
      </c>
      <c r="T39" s="161"/>
      <c r="U39" s="161"/>
      <c r="V39" s="162" t="s">
        <v>322</v>
      </c>
      <c r="W39" s="162" t="s">
        <v>323</v>
      </c>
      <c r="X39" s="162" t="s">
        <v>324</v>
      </c>
      <c r="Y39" s="162" t="s">
        <v>325</v>
      </c>
    </row>
    <row r="40" spans="1:25" ht="49.5" customHeight="1" thickBot="1" thickTop="1">
      <c r="A40" s="329"/>
      <c r="B40" s="2" t="s">
        <v>177</v>
      </c>
      <c r="C40" s="3">
        <v>7</v>
      </c>
      <c r="D40" s="13"/>
      <c r="E40" s="1" t="s">
        <v>0</v>
      </c>
      <c r="F40" s="1" t="str">
        <f>"§22, pkt 4 "&amp;prawo!B5</f>
        <v>§22, pkt 4 rozporządzenia Ministra Zdrowia z dnia 26 czerwca 2012 r. w sprawie szczegółowych wymagań, jakim powinny odpowiadać pomieszczenia i urządzenia podmiotu wykonującego działalność leczniczą (Dz.U. z 2012 r. poz. 739);</v>
      </c>
      <c r="G40" s="1" t="s">
        <v>15</v>
      </c>
      <c r="H40" s="13" t="s">
        <v>0</v>
      </c>
      <c r="I40" s="13" t="s">
        <v>0</v>
      </c>
      <c r="J40" s="1" t="s">
        <v>0</v>
      </c>
      <c r="K40" s="21">
        <f t="shared" si="2"/>
        <v>0</v>
      </c>
      <c r="P40" s="164" t="s">
        <v>318</v>
      </c>
      <c r="Q40" s="164" t="s">
        <v>319</v>
      </c>
      <c r="R40" s="164" t="s">
        <v>320</v>
      </c>
      <c r="S40" s="164" t="s">
        <v>321</v>
      </c>
      <c r="T40" s="163"/>
      <c r="U40" s="163"/>
      <c r="V40" s="164" t="s">
        <v>322</v>
      </c>
      <c r="W40" s="164" t="s">
        <v>323</v>
      </c>
      <c r="X40" s="164" t="s">
        <v>324</v>
      </c>
      <c r="Y40" s="164" t="s">
        <v>325</v>
      </c>
    </row>
    <row r="41" spans="1:25" ht="49.5" customHeight="1" thickBot="1" thickTop="1">
      <c r="A41" s="329"/>
      <c r="B41" s="2" t="s">
        <v>69</v>
      </c>
      <c r="C41" s="3">
        <v>8</v>
      </c>
      <c r="D41" s="13"/>
      <c r="E41" s="1" t="s">
        <v>0</v>
      </c>
      <c r="F41" s="1" t="str">
        <f>"§22, pkt 4 "&amp;prawo!B5</f>
        <v>§22, pkt 4 rozporządzenia Ministra Zdrowia z dnia 26 czerwca 2012 r. w sprawie szczegółowych wymagań, jakim powinny odpowiadać pomieszczenia i urządzenia podmiotu wykonującego działalność leczniczą (Dz.U. z 2012 r. poz. 739);</v>
      </c>
      <c r="G41" s="1" t="s">
        <v>15</v>
      </c>
      <c r="H41" s="13" t="s">
        <v>0</v>
      </c>
      <c r="I41" s="13" t="s">
        <v>0</v>
      </c>
      <c r="J41" s="1" t="s">
        <v>0</v>
      </c>
      <c r="K41" s="21">
        <f t="shared" si="2"/>
        <v>0</v>
      </c>
      <c r="P41" s="166" t="s">
        <v>318</v>
      </c>
      <c r="Q41" s="166" t="s">
        <v>319</v>
      </c>
      <c r="R41" s="166" t="s">
        <v>320</v>
      </c>
      <c r="S41" s="166" t="s">
        <v>321</v>
      </c>
      <c r="T41" s="165"/>
      <c r="U41" s="165"/>
      <c r="V41" s="166" t="s">
        <v>322</v>
      </c>
      <c r="W41" s="166" t="s">
        <v>323</v>
      </c>
      <c r="X41" s="166" t="s">
        <v>324</v>
      </c>
      <c r="Y41" s="166" t="s">
        <v>325</v>
      </c>
    </row>
    <row r="42" spans="1:25" ht="49.5" customHeight="1" thickBot="1" thickTop="1">
      <c r="A42" s="329"/>
      <c r="B42" s="2" t="s">
        <v>178</v>
      </c>
      <c r="C42" s="3">
        <v>9</v>
      </c>
      <c r="D42" s="13"/>
      <c r="E42" s="1" t="s">
        <v>0</v>
      </c>
      <c r="F42" s="1" t="str">
        <f>"§22, pkt 5 "&amp;prawo!B5</f>
        <v>§22, pkt 5 rozporządzenia Ministra Zdrowia z dnia 26 czerwca 2012 r. w sprawie szczegółowych wymagań, jakim powinny odpowiadać pomieszczenia i urządzenia podmiotu wykonującego działalność leczniczą (Dz.U. z 2012 r. poz. 739);</v>
      </c>
      <c r="G42" s="1" t="s">
        <v>15</v>
      </c>
      <c r="H42" s="13" t="s">
        <v>0</v>
      </c>
      <c r="I42" s="13" t="s">
        <v>0</v>
      </c>
      <c r="J42" s="1" t="s">
        <v>0</v>
      </c>
      <c r="K42" s="21">
        <f t="shared" si="2"/>
        <v>0</v>
      </c>
      <c r="P42" s="168" t="s">
        <v>318</v>
      </c>
      <c r="Q42" s="168" t="s">
        <v>319</v>
      </c>
      <c r="R42" s="168" t="s">
        <v>320</v>
      </c>
      <c r="S42" s="168" t="s">
        <v>321</v>
      </c>
      <c r="T42" s="167"/>
      <c r="U42" s="167"/>
      <c r="V42" s="168" t="s">
        <v>322</v>
      </c>
      <c r="W42" s="168" t="s">
        <v>323</v>
      </c>
      <c r="X42" s="168" t="s">
        <v>324</v>
      </c>
      <c r="Y42" s="168" t="s">
        <v>325</v>
      </c>
    </row>
    <row r="43" spans="1:25" ht="49.5" customHeight="1" thickBot="1" thickTop="1">
      <c r="A43" s="331"/>
      <c r="B43" s="14" t="s">
        <v>179</v>
      </c>
      <c r="C43" s="7">
        <v>10</v>
      </c>
      <c r="D43" s="13"/>
      <c r="E43" s="8" t="s">
        <v>0</v>
      </c>
      <c r="F43" s="8" t="str">
        <f>"§22, pkt 6 "&amp;prawo!B5</f>
        <v>§22, pkt 6 rozporządzenia Ministra Zdrowia z dnia 26 czerwca 2012 r. w sprawie szczegółowych wymagań, jakim powinny odpowiadać pomieszczenia i urządzenia podmiotu wykonującego działalność leczniczą (Dz.U. z 2012 r. poz. 739);</v>
      </c>
      <c r="G43" s="8" t="s">
        <v>15</v>
      </c>
      <c r="H43" s="13" t="s">
        <v>0</v>
      </c>
      <c r="I43" s="13" t="s">
        <v>0</v>
      </c>
      <c r="J43" s="8" t="s">
        <v>0</v>
      </c>
      <c r="K43" s="21">
        <f t="shared" si="2"/>
        <v>0</v>
      </c>
      <c r="P43" s="170" t="s">
        <v>318</v>
      </c>
      <c r="Q43" s="170" t="s">
        <v>319</v>
      </c>
      <c r="R43" s="170" t="s">
        <v>320</v>
      </c>
      <c r="S43" s="170" t="s">
        <v>321</v>
      </c>
      <c r="T43" s="169"/>
      <c r="U43" s="169"/>
      <c r="V43" s="170" t="s">
        <v>322</v>
      </c>
      <c r="W43" s="170" t="s">
        <v>323</v>
      </c>
      <c r="X43" s="170" t="s">
        <v>324</v>
      </c>
      <c r="Y43" s="170" t="s">
        <v>325</v>
      </c>
    </row>
    <row r="44" ht="49.5" customHeight="1" thickTop="1"/>
    <row r="45" spans="1:11" ht="49.5" customHeight="1">
      <c r="A45" s="316" t="s">
        <v>180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</row>
    <row r="46" spans="1:11" ht="49.5" customHeight="1" thickBot="1">
      <c r="A46" s="320" t="s">
        <v>2</v>
      </c>
      <c r="B46" s="322" t="s">
        <v>3</v>
      </c>
      <c r="C46" s="323"/>
      <c r="D46" s="309" t="s">
        <v>4</v>
      </c>
      <c r="E46" s="309" t="s">
        <v>5</v>
      </c>
      <c r="F46" s="309" t="s">
        <v>6</v>
      </c>
      <c r="G46" s="309" t="s">
        <v>7</v>
      </c>
      <c r="H46" s="309" t="s">
        <v>27</v>
      </c>
      <c r="I46" s="309" t="s">
        <v>9</v>
      </c>
      <c r="J46" s="309" t="s">
        <v>10</v>
      </c>
      <c r="K46" s="310" t="s">
        <v>11</v>
      </c>
    </row>
    <row r="47" spans="1:11" ht="49.5" customHeight="1" thickBot="1" thickTop="1">
      <c r="A47" s="321"/>
      <c r="B47" s="324"/>
      <c r="C47" s="325"/>
      <c r="D47" s="311">
        <v>1</v>
      </c>
      <c r="E47" s="311">
        <v>2</v>
      </c>
      <c r="F47" s="311">
        <v>3</v>
      </c>
      <c r="G47" s="311">
        <v>4</v>
      </c>
      <c r="H47" s="311">
        <v>5</v>
      </c>
      <c r="I47" s="311">
        <v>6</v>
      </c>
      <c r="J47" s="311">
        <v>7</v>
      </c>
      <c r="K47" s="312">
        <v>8</v>
      </c>
    </row>
    <row r="48" spans="1:25" ht="49.5" customHeight="1" thickBot="1" thickTop="1">
      <c r="A48" s="16" t="s">
        <v>181</v>
      </c>
      <c r="B48" s="17" t="s">
        <v>182</v>
      </c>
      <c r="C48" s="18">
        <v>1</v>
      </c>
      <c r="D48" s="13"/>
      <c r="E48" s="19" t="s">
        <v>0</v>
      </c>
      <c r="F48" s="19" t="str">
        <f>"załącznik nr 1 część XI ust. 15, załącznik nr 3 ust. 3 "&amp;prawo!B5</f>
        <v>załącznik nr 1 część XI ust. 15,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48" s="19" t="s">
        <v>15</v>
      </c>
      <c r="H48" s="13" t="s">
        <v>0</v>
      </c>
      <c r="I48" s="13" t="s">
        <v>0</v>
      </c>
      <c r="J48" s="19" t="s">
        <v>0</v>
      </c>
      <c r="K48" s="21">
        <f>IF(I48=P48,V48,IF(I48=Q48,W48,IF(I48=R48,X48,IF(I48=S48,Y48,IF(I48=" "," ",)))))</f>
        <v>0</v>
      </c>
      <c r="P48" s="172" t="s">
        <v>318</v>
      </c>
      <c r="Q48" s="172" t="s">
        <v>319</v>
      </c>
      <c r="R48" s="172" t="s">
        <v>320</v>
      </c>
      <c r="S48" s="172" t="s">
        <v>321</v>
      </c>
      <c r="T48" s="171"/>
      <c r="U48" s="171"/>
      <c r="V48" s="172" t="s">
        <v>322</v>
      </c>
      <c r="W48" s="172" t="s">
        <v>323</v>
      </c>
      <c r="X48" s="172" t="s">
        <v>324</v>
      </c>
      <c r="Y48" s="172" t="s">
        <v>325</v>
      </c>
    </row>
    <row r="49" ht="49.5" customHeight="1" thickTop="1"/>
    <row r="50" spans="1:11" ht="49.5" customHeight="1">
      <c r="A50" s="316" t="s">
        <v>183</v>
      </c>
      <c r="B50" s="317"/>
      <c r="C50" s="317"/>
      <c r="D50" s="317"/>
      <c r="E50" s="317"/>
      <c r="F50" s="317"/>
      <c r="G50" s="317"/>
      <c r="H50" s="317"/>
      <c r="I50" s="317"/>
      <c r="J50" s="317"/>
      <c r="K50" s="317"/>
    </row>
    <row r="51" spans="1:11" ht="49.5" customHeight="1" thickBot="1">
      <c r="A51" s="320" t="s">
        <v>2</v>
      </c>
      <c r="B51" s="322" t="s">
        <v>3</v>
      </c>
      <c r="C51" s="323"/>
      <c r="D51" s="309" t="s">
        <v>4</v>
      </c>
      <c r="E51" s="309" t="s">
        <v>5</v>
      </c>
      <c r="F51" s="309" t="s">
        <v>6</v>
      </c>
      <c r="G51" s="309" t="s">
        <v>7</v>
      </c>
      <c r="H51" s="309" t="s">
        <v>27</v>
      </c>
      <c r="I51" s="309" t="s">
        <v>9</v>
      </c>
      <c r="J51" s="309" t="s">
        <v>10</v>
      </c>
      <c r="K51" s="310" t="s">
        <v>11</v>
      </c>
    </row>
    <row r="52" spans="1:11" ht="49.5" customHeight="1" thickBot="1" thickTop="1">
      <c r="A52" s="321"/>
      <c r="B52" s="324"/>
      <c r="C52" s="325"/>
      <c r="D52" s="311">
        <v>1</v>
      </c>
      <c r="E52" s="311">
        <v>2</v>
      </c>
      <c r="F52" s="311">
        <v>3</v>
      </c>
      <c r="G52" s="311">
        <v>4</v>
      </c>
      <c r="H52" s="311">
        <v>5</v>
      </c>
      <c r="I52" s="311">
        <v>6</v>
      </c>
      <c r="J52" s="311">
        <v>7</v>
      </c>
      <c r="K52" s="312">
        <v>8</v>
      </c>
    </row>
    <row r="53" spans="1:25" ht="49.5" customHeight="1" thickBot="1" thickTop="1">
      <c r="A53" s="11" t="s">
        <v>184</v>
      </c>
      <c r="B53" s="15" t="s">
        <v>185</v>
      </c>
      <c r="C53" s="4">
        <v>1</v>
      </c>
      <c r="D53" s="13"/>
      <c r="E53" s="13" t="s">
        <v>0</v>
      </c>
      <c r="F53" s="13" t="str">
        <f>"załącznik nr 1 część XI ust. 8, załącznik nr 3 ust. 3 "&amp;prawo!B5</f>
        <v>załącznik nr 1 część XI ust. 8,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53" s="13" t="s">
        <v>15</v>
      </c>
      <c r="H53" s="13" t="s">
        <v>0</v>
      </c>
      <c r="I53" s="13" t="s">
        <v>0</v>
      </c>
      <c r="J53" s="13" t="s">
        <v>0</v>
      </c>
      <c r="K53" s="21">
        <f aca="true" t="shared" si="3" ref="K53:K58">IF(I53=P53,V53,IF(I53=Q53,W53,IF(I53=R53,X53,IF(I53=S53,Y53,IF(I53=" "," ",)))))</f>
        <v>0</v>
      </c>
      <c r="P53" s="174" t="s">
        <v>318</v>
      </c>
      <c r="Q53" s="174" t="s">
        <v>319</v>
      </c>
      <c r="R53" s="174" t="s">
        <v>320</v>
      </c>
      <c r="S53" s="174" t="s">
        <v>321</v>
      </c>
      <c r="T53" s="173"/>
      <c r="U53" s="173"/>
      <c r="V53" s="174" t="s">
        <v>322</v>
      </c>
      <c r="W53" s="174" t="s">
        <v>323</v>
      </c>
      <c r="X53" s="174" t="s">
        <v>324</v>
      </c>
      <c r="Y53" s="174" t="s">
        <v>325</v>
      </c>
    </row>
    <row r="54" spans="1:25" ht="49.5" customHeight="1" thickBot="1" thickTop="1">
      <c r="A54" s="327" t="s">
        <v>186</v>
      </c>
      <c r="B54" s="2" t="s">
        <v>187</v>
      </c>
      <c r="C54" s="3">
        <v>2</v>
      </c>
      <c r="D54" s="13"/>
      <c r="E54" s="1" t="s">
        <v>0</v>
      </c>
      <c r="F54" s="1" t="str">
        <f>"załącznik nr 1 część XI ust. 17, załącznik nr 3 ust. 3  "&amp;prawo!B5</f>
        <v>załącznik nr 1 część XI ust. 17, załącznik nr 3 ust. 3  rozporządzenia Ministra Zdrowia z dnia 26 czerwca 2012 r. w sprawie szczegółowych wymagań, jakim powinny odpowiadać pomieszczenia i urządzenia podmiotu wykonującego działalność leczniczą (Dz.U. z 2012 r. poz. 739);</v>
      </c>
      <c r="G54" s="1" t="s">
        <v>15</v>
      </c>
      <c r="H54" s="13" t="s">
        <v>0</v>
      </c>
      <c r="I54" s="13" t="s">
        <v>0</v>
      </c>
      <c r="J54" s="1" t="s">
        <v>0</v>
      </c>
      <c r="K54" s="21">
        <f t="shared" si="3"/>
        <v>0</v>
      </c>
      <c r="P54" s="176" t="s">
        <v>318</v>
      </c>
      <c r="Q54" s="176" t="s">
        <v>319</v>
      </c>
      <c r="R54" s="176" t="s">
        <v>320</v>
      </c>
      <c r="S54" s="176" t="s">
        <v>321</v>
      </c>
      <c r="T54" s="175"/>
      <c r="U54" s="175"/>
      <c r="V54" s="176" t="s">
        <v>322</v>
      </c>
      <c r="W54" s="176" t="s">
        <v>323</v>
      </c>
      <c r="X54" s="176" t="s">
        <v>324</v>
      </c>
      <c r="Y54" s="176" t="s">
        <v>325</v>
      </c>
    </row>
    <row r="55" spans="1:25" ht="49.5" customHeight="1" thickBot="1" thickTop="1">
      <c r="A55" s="329"/>
      <c r="B55" s="2" t="s">
        <v>188</v>
      </c>
      <c r="C55" s="3">
        <v>3</v>
      </c>
      <c r="D55" s="13"/>
      <c r="E55" s="1" t="s">
        <v>0</v>
      </c>
      <c r="F55" s="1" t="str">
        <f>"załącznik nr 1 część XI ust. 18, załącznik nr 3 ust. 3 "&amp;prawo!B5</f>
        <v>załącznik nr 1 część XI ust. 18,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55" s="1" t="s">
        <v>15</v>
      </c>
      <c r="H55" s="13" t="s">
        <v>0</v>
      </c>
      <c r="I55" s="13" t="s">
        <v>0</v>
      </c>
      <c r="J55" s="1" t="s">
        <v>0</v>
      </c>
      <c r="K55" s="21">
        <f t="shared" si="3"/>
        <v>0</v>
      </c>
      <c r="P55" s="178" t="s">
        <v>318</v>
      </c>
      <c r="Q55" s="178" t="s">
        <v>319</v>
      </c>
      <c r="R55" s="178" t="s">
        <v>320</v>
      </c>
      <c r="S55" s="178" t="s">
        <v>321</v>
      </c>
      <c r="T55" s="177"/>
      <c r="U55" s="177"/>
      <c r="V55" s="178" t="s">
        <v>322</v>
      </c>
      <c r="W55" s="178" t="s">
        <v>323</v>
      </c>
      <c r="X55" s="178" t="s">
        <v>324</v>
      </c>
      <c r="Y55" s="178" t="s">
        <v>325</v>
      </c>
    </row>
    <row r="56" spans="1:25" ht="49.5" customHeight="1" thickBot="1" thickTop="1">
      <c r="A56" s="329"/>
      <c r="B56" s="2" t="s">
        <v>189</v>
      </c>
      <c r="C56" s="3">
        <v>4</v>
      </c>
      <c r="D56" s="13"/>
      <c r="E56" s="1" t="s">
        <v>0</v>
      </c>
      <c r="F56" s="1" t="str">
        <f>"załącznik nr 1 część XI ust. 19, załącznik nr 3 ust. 3 "&amp;prawo!B5</f>
        <v>załącznik nr 1 część XI ust. 19,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56" s="1" t="s">
        <v>15</v>
      </c>
      <c r="H56" s="13" t="s">
        <v>0</v>
      </c>
      <c r="I56" s="13" t="s">
        <v>0</v>
      </c>
      <c r="J56" s="1" t="s">
        <v>0</v>
      </c>
      <c r="K56" s="21">
        <f t="shared" si="3"/>
        <v>0</v>
      </c>
      <c r="P56" s="180" t="s">
        <v>318</v>
      </c>
      <c r="Q56" s="180" t="s">
        <v>319</v>
      </c>
      <c r="R56" s="180" t="s">
        <v>320</v>
      </c>
      <c r="S56" s="180" t="s">
        <v>321</v>
      </c>
      <c r="T56" s="179"/>
      <c r="U56" s="179"/>
      <c r="V56" s="180" t="s">
        <v>322</v>
      </c>
      <c r="W56" s="180" t="s">
        <v>323</v>
      </c>
      <c r="X56" s="180" t="s">
        <v>324</v>
      </c>
      <c r="Y56" s="180" t="s">
        <v>325</v>
      </c>
    </row>
    <row r="57" spans="1:25" ht="49.5" customHeight="1" thickBot="1" thickTop="1">
      <c r="A57" s="328"/>
      <c r="B57" s="2" t="s">
        <v>190</v>
      </c>
      <c r="C57" s="3">
        <v>5</v>
      </c>
      <c r="D57" s="13"/>
      <c r="E57" s="1" t="s">
        <v>0</v>
      </c>
      <c r="F57" s="1" t="str">
        <f>"załącznik nr 1 część XI ust. 20, załącznik nr 3 ust. 3  "&amp;prawo!B5</f>
        <v>załącznik nr 1 część XI ust. 20, załącznik nr 3 ust. 3  rozporządzenia Ministra Zdrowia z dnia 26 czerwca 2012 r. w sprawie szczegółowych wymagań, jakim powinny odpowiadać pomieszczenia i urządzenia podmiotu wykonującego działalność leczniczą (Dz.U. z 2012 r. poz. 739);</v>
      </c>
      <c r="G57" s="1" t="s">
        <v>15</v>
      </c>
      <c r="H57" s="13" t="s">
        <v>0</v>
      </c>
      <c r="I57" s="13" t="s">
        <v>0</v>
      </c>
      <c r="J57" s="1" t="s">
        <v>0</v>
      </c>
      <c r="K57" s="21">
        <f t="shared" si="3"/>
        <v>0</v>
      </c>
      <c r="P57" s="182" t="s">
        <v>318</v>
      </c>
      <c r="Q57" s="182" t="s">
        <v>319</v>
      </c>
      <c r="R57" s="182" t="s">
        <v>320</v>
      </c>
      <c r="S57" s="182" t="s">
        <v>321</v>
      </c>
      <c r="T57" s="181"/>
      <c r="U57" s="181"/>
      <c r="V57" s="182" t="s">
        <v>322</v>
      </c>
      <c r="W57" s="182" t="s">
        <v>323</v>
      </c>
      <c r="X57" s="182" t="s">
        <v>324</v>
      </c>
      <c r="Y57" s="182" t="s">
        <v>325</v>
      </c>
    </row>
    <row r="58" spans="1:25" ht="49.5" customHeight="1" thickBot="1" thickTop="1">
      <c r="A58" s="6" t="s">
        <v>191</v>
      </c>
      <c r="B58" s="14" t="s">
        <v>192</v>
      </c>
      <c r="C58" s="7">
        <v>6</v>
      </c>
      <c r="D58" s="13"/>
      <c r="E58" s="8" t="s">
        <v>0</v>
      </c>
      <c r="F58" s="8" t="str">
        <f>"załącznik nr 1 część XI ust. 16, załącznik nr 3 ust. 3 "&amp;prawo!B5</f>
        <v>załącznik nr 1 część XI ust. 16,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58" s="8" t="s">
        <v>15</v>
      </c>
      <c r="H58" s="13" t="s">
        <v>0</v>
      </c>
      <c r="I58" s="13" t="s">
        <v>0</v>
      </c>
      <c r="J58" s="8" t="s">
        <v>0</v>
      </c>
      <c r="K58" s="21">
        <f t="shared" si="3"/>
        <v>0</v>
      </c>
      <c r="P58" s="184" t="s">
        <v>318</v>
      </c>
      <c r="Q58" s="184" t="s">
        <v>319</v>
      </c>
      <c r="R58" s="184" t="s">
        <v>320</v>
      </c>
      <c r="S58" s="184" t="s">
        <v>321</v>
      </c>
      <c r="T58" s="183"/>
      <c r="U58" s="183"/>
      <c r="V58" s="184" t="s">
        <v>322</v>
      </c>
      <c r="W58" s="184" t="s">
        <v>323</v>
      </c>
      <c r="X58" s="184" t="s">
        <v>324</v>
      </c>
      <c r="Y58" s="184" t="s">
        <v>325</v>
      </c>
    </row>
    <row r="59" ht="49.5" customHeight="1" thickTop="1"/>
    <row r="60" spans="1:11" ht="49.5" customHeight="1">
      <c r="A60" s="316" t="s">
        <v>193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</row>
    <row r="61" spans="1:11" ht="49.5" customHeight="1" thickBot="1">
      <c r="A61" s="320" t="s">
        <v>2</v>
      </c>
      <c r="B61" s="322" t="s">
        <v>3</v>
      </c>
      <c r="C61" s="323"/>
      <c r="D61" s="309" t="s">
        <v>4</v>
      </c>
      <c r="E61" s="309" t="s">
        <v>5</v>
      </c>
      <c r="F61" s="309" t="s">
        <v>6</v>
      </c>
      <c r="G61" s="309" t="s">
        <v>7</v>
      </c>
      <c r="H61" s="309" t="s">
        <v>27</v>
      </c>
      <c r="I61" s="309" t="s">
        <v>9</v>
      </c>
      <c r="J61" s="309" t="s">
        <v>10</v>
      </c>
      <c r="K61" s="310" t="s">
        <v>11</v>
      </c>
    </row>
    <row r="62" spans="1:11" ht="49.5" customHeight="1" thickBot="1" thickTop="1">
      <c r="A62" s="321"/>
      <c r="B62" s="324"/>
      <c r="C62" s="325"/>
      <c r="D62" s="311">
        <v>1</v>
      </c>
      <c r="E62" s="311">
        <v>2</v>
      </c>
      <c r="F62" s="311">
        <v>3</v>
      </c>
      <c r="G62" s="311">
        <v>4</v>
      </c>
      <c r="H62" s="311">
        <v>5</v>
      </c>
      <c r="I62" s="311">
        <v>6</v>
      </c>
      <c r="J62" s="311">
        <v>7</v>
      </c>
      <c r="K62" s="312">
        <v>8</v>
      </c>
    </row>
    <row r="63" spans="1:25" ht="49.5" customHeight="1" thickBot="1" thickTop="1">
      <c r="A63" s="330" t="s">
        <v>194</v>
      </c>
      <c r="B63" s="15" t="s">
        <v>195</v>
      </c>
      <c r="C63" s="4">
        <v>1</v>
      </c>
      <c r="D63" s="13"/>
      <c r="E63" s="13" t="s">
        <v>0</v>
      </c>
      <c r="F63" s="13" t="str">
        <f>"załącznik nr 1 część XI ust. 17 pkt 2, załącznik nr 3 ust. 3 "&amp;prawo!B5</f>
        <v>załącznik nr 1 część XI ust. 17 pkt 2,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63" s="13" t="s">
        <v>15</v>
      </c>
      <c r="H63" s="13" t="s">
        <v>0</v>
      </c>
      <c r="I63" s="13" t="s">
        <v>0</v>
      </c>
      <c r="J63" s="13" t="s">
        <v>0</v>
      </c>
      <c r="K63" s="21">
        <f>IF(I63=P63,V63,IF(I63=Q63,W63,IF(I63=R63,X63,IF(I63=S63,Y63,IF(I63=" "," ",)))))</f>
        <v>0</v>
      </c>
      <c r="P63" s="186" t="s">
        <v>318</v>
      </c>
      <c r="Q63" s="186" t="s">
        <v>319</v>
      </c>
      <c r="R63" s="186" t="s">
        <v>320</v>
      </c>
      <c r="S63" s="186" t="s">
        <v>321</v>
      </c>
      <c r="T63" s="185"/>
      <c r="U63" s="185"/>
      <c r="V63" s="186" t="s">
        <v>322</v>
      </c>
      <c r="W63" s="186" t="s">
        <v>323</v>
      </c>
      <c r="X63" s="186" t="s">
        <v>324</v>
      </c>
      <c r="Y63" s="186" t="s">
        <v>325</v>
      </c>
    </row>
    <row r="64" spans="1:25" ht="49.5" customHeight="1" thickBot="1" thickTop="1">
      <c r="A64" s="329"/>
      <c r="B64" s="2" t="s">
        <v>188</v>
      </c>
      <c r="C64" s="3">
        <v>2</v>
      </c>
      <c r="D64" s="13"/>
      <c r="E64" s="1" t="s">
        <v>0</v>
      </c>
      <c r="F64" s="1" t="str">
        <f>"załącznik nr 1 część XI ust. 18, załącznik nr 3 ust. 3 "&amp;prawo!B5</f>
        <v>załącznik nr 1 część XI ust. 18,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64" s="1" t="s">
        <v>15</v>
      </c>
      <c r="H64" s="13" t="s">
        <v>0</v>
      </c>
      <c r="I64" s="13" t="s">
        <v>0</v>
      </c>
      <c r="J64" s="1" t="s">
        <v>0</v>
      </c>
      <c r="K64" s="21">
        <f>IF(I64=P64,V64,IF(I64=Q64,W64,IF(I64=R64,X64,IF(I64=S64,Y64,IF(I64=" "," ",)))))</f>
        <v>0</v>
      </c>
      <c r="P64" s="188" t="s">
        <v>318</v>
      </c>
      <c r="Q64" s="188" t="s">
        <v>319</v>
      </c>
      <c r="R64" s="188" t="s">
        <v>320</v>
      </c>
      <c r="S64" s="188" t="s">
        <v>321</v>
      </c>
      <c r="T64" s="187"/>
      <c r="U64" s="187"/>
      <c r="V64" s="188" t="s">
        <v>322</v>
      </c>
      <c r="W64" s="188" t="s">
        <v>323</v>
      </c>
      <c r="X64" s="188" t="s">
        <v>324</v>
      </c>
      <c r="Y64" s="188" t="s">
        <v>325</v>
      </c>
    </row>
    <row r="65" spans="1:25" ht="49.5" customHeight="1" thickBot="1" thickTop="1">
      <c r="A65" s="329"/>
      <c r="B65" s="2" t="s">
        <v>189</v>
      </c>
      <c r="C65" s="3">
        <v>3</v>
      </c>
      <c r="D65" s="13"/>
      <c r="E65" s="1" t="s">
        <v>0</v>
      </c>
      <c r="F65" s="1" t="str">
        <f>"załącznik nr 1 część XI ust. 19, załącznik nr 3 ust. 3 "&amp;prawo!B5</f>
        <v>załącznik nr 1 część XI ust. 19,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65" s="1" t="s">
        <v>15</v>
      </c>
      <c r="H65" s="13" t="s">
        <v>0</v>
      </c>
      <c r="I65" s="13" t="s">
        <v>0</v>
      </c>
      <c r="J65" s="1" t="s">
        <v>0</v>
      </c>
      <c r="K65" s="21">
        <f>IF(I65=P65,V65,IF(I65=Q65,W65,IF(I65=R65,X65,IF(I65=S65,Y65,IF(I65=" "," ",)))))</f>
        <v>0</v>
      </c>
      <c r="P65" s="190" t="s">
        <v>318</v>
      </c>
      <c r="Q65" s="190" t="s">
        <v>319</v>
      </c>
      <c r="R65" s="190" t="s">
        <v>320</v>
      </c>
      <c r="S65" s="190" t="s">
        <v>321</v>
      </c>
      <c r="T65" s="189"/>
      <c r="U65" s="189"/>
      <c r="V65" s="190" t="s">
        <v>322</v>
      </c>
      <c r="W65" s="190" t="s">
        <v>323</v>
      </c>
      <c r="X65" s="190" t="s">
        <v>324</v>
      </c>
      <c r="Y65" s="190" t="s">
        <v>325</v>
      </c>
    </row>
    <row r="66" spans="1:25" ht="49.5" customHeight="1" thickBot="1" thickTop="1">
      <c r="A66" s="328"/>
      <c r="B66" s="2" t="s">
        <v>196</v>
      </c>
      <c r="C66" s="3">
        <v>4</v>
      </c>
      <c r="D66" s="13"/>
      <c r="E66" s="1" t="s">
        <v>0</v>
      </c>
      <c r="F66" s="1" t="str">
        <f>"załącznik nr 1część XI ust. 20, załącznik nr 3 ust. 3 "&amp;prawo!B5</f>
        <v>załącznik nr 1część XI ust. 20,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66" s="1" t="s">
        <v>15</v>
      </c>
      <c r="H66" s="13" t="s">
        <v>0</v>
      </c>
      <c r="I66" s="13" t="s">
        <v>0</v>
      </c>
      <c r="J66" s="1" t="s">
        <v>0</v>
      </c>
      <c r="K66" s="21">
        <f>IF(I66=P66,V66,IF(I66=Q66,W66,IF(I66=R66,X66,IF(I66=S66,Y66,IF(I66=" "," ",)))))</f>
        <v>0</v>
      </c>
      <c r="P66" s="192" t="s">
        <v>318</v>
      </c>
      <c r="Q66" s="192" t="s">
        <v>319</v>
      </c>
      <c r="R66" s="192" t="s">
        <v>320</v>
      </c>
      <c r="S66" s="192" t="s">
        <v>321</v>
      </c>
      <c r="T66" s="191"/>
      <c r="U66" s="191"/>
      <c r="V66" s="192" t="s">
        <v>322</v>
      </c>
      <c r="W66" s="192" t="s">
        <v>323</v>
      </c>
      <c r="X66" s="192" t="s">
        <v>324</v>
      </c>
      <c r="Y66" s="192" t="s">
        <v>325</v>
      </c>
    </row>
    <row r="67" spans="1:25" ht="49.5" customHeight="1" thickBot="1" thickTop="1">
      <c r="A67" s="6" t="s">
        <v>197</v>
      </c>
      <c r="B67" s="14" t="s">
        <v>198</v>
      </c>
      <c r="C67" s="7">
        <v>5</v>
      </c>
      <c r="D67" s="13"/>
      <c r="E67" s="8" t="s">
        <v>0</v>
      </c>
      <c r="F67" s="8" t="str">
        <f>"załącznik nr 1 część XI ust. 12, załącznik nr 3 ust. 3  "&amp;prawo!B5</f>
        <v>załącznik nr 1 część XI ust. 12, załącznik nr 3 ust. 3  rozporządzenia Ministra Zdrowia z dnia 26 czerwca 2012 r. w sprawie szczegółowych wymagań, jakim powinny odpowiadać pomieszczenia i urządzenia podmiotu wykonującego działalność leczniczą (Dz.U. z 2012 r. poz. 739);</v>
      </c>
      <c r="G67" s="8" t="s">
        <v>15</v>
      </c>
      <c r="H67" s="13" t="s">
        <v>0</v>
      </c>
      <c r="I67" s="13" t="s">
        <v>0</v>
      </c>
      <c r="J67" s="8" t="s">
        <v>0</v>
      </c>
      <c r="K67" s="21">
        <f>IF(I67=P67,V67,IF(I67=Q67,W67,IF(I67=R67,X67,IF(I67=S67,Y67,IF(I67=" "," ",)))))</f>
        <v>0</v>
      </c>
      <c r="P67" s="194" t="s">
        <v>318</v>
      </c>
      <c r="Q67" s="194" t="s">
        <v>319</v>
      </c>
      <c r="R67" s="194" t="s">
        <v>320</v>
      </c>
      <c r="S67" s="194" t="s">
        <v>321</v>
      </c>
      <c r="T67" s="193"/>
      <c r="U67" s="193"/>
      <c r="V67" s="194" t="s">
        <v>322</v>
      </c>
      <c r="W67" s="194" t="s">
        <v>323</v>
      </c>
      <c r="X67" s="194" t="s">
        <v>324</v>
      </c>
      <c r="Y67" s="194" t="s">
        <v>325</v>
      </c>
    </row>
    <row r="68" ht="49.5" customHeight="1" thickTop="1"/>
  </sheetData>
  <sheetProtection/>
  <mergeCells count="29">
    <mergeCell ref="A63:A66"/>
    <mergeCell ref="A24:A25"/>
    <mergeCell ref="B51:C52"/>
    <mergeCell ref="A29:K29"/>
    <mergeCell ref="A31:K31"/>
    <mergeCell ref="A32:A33"/>
    <mergeCell ref="A45:K45"/>
    <mergeCell ref="A46:A47"/>
    <mergeCell ref="B46:C47"/>
    <mergeCell ref="A54:A57"/>
    <mergeCell ref="A60:K60"/>
    <mergeCell ref="A61:A62"/>
    <mergeCell ref="B61:C62"/>
    <mergeCell ref="A50:K50"/>
    <mergeCell ref="A51:A52"/>
    <mergeCell ref="A17:K17"/>
    <mergeCell ref="A19:K19"/>
    <mergeCell ref="A20:A21"/>
    <mergeCell ref="B20:C21"/>
    <mergeCell ref="A22:A23"/>
    <mergeCell ref="B32:C33"/>
    <mergeCell ref="A34:A35"/>
    <mergeCell ref="A37:A43"/>
    <mergeCell ref="A14:A16"/>
    <mergeCell ref="A1:K4"/>
    <mergeCell ref="A5:K5"/>
    <mergeCell ref="A6:A7"/>
    <mergeCell ref="B6:C7"/>
    <mergeCell ref="A8:A13"/>
  </mergeCells>
  <dataValidations count="3">
    <dataValidation type="list" allowBlank="1" showInputMessage="1" showErrorMessage="1" sqref="D8:D16 D22:D28 D34:D43 D48 D53:D58 D63:D67">
      <formula1>$P$1:$P$3</formula1>
    </dataValidation>
    <dataValidation type="list" allowBlank="1" showInputMessage="1" showErrorMessage="1" sqref="H8:H16 H22:H28 H34:H43 H48 H53:H58 H63:H67">
      <formula1>$P$1:$P$2</formula1>
    </dataValidation>
    <dataValidation type="list" allowBlank="1" showInputMessage="1" showErrorMessage="1" sqref="I8:I16 I22:I28 I34:I43 I48 I53:I58 I63:I67">
      <formula1>$P$8:$S$8</formula1>
    </dataValidation>
  </dataValidations>
  <printOptions/>
  <pageMargins left="0.7" right="0.2" top="0.2" bottom="0.2" header="0.5" footer="0.5"/>
  <pageSetup horizontalDpi="300" verticalDpi="300" orientation="portrait" scale="41" r:id="rId1"/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="72" zoomScaleNormal="72" zoomScaleSheetLayoutView="55" zoomScalePageLayoutView="0" workbookViewId="0" topLeftCell="A1">
      <selection activeCell="A34" sqref="A34:K34"/>
    </sheetView>
  </sheetViews>
  <sheetFormatPr defaultColWidth="9.140625" defaultRowHeight="49.5" customHeight="1"/>
  <cols>
    <col min="1" max="1" width="22.28125" style="0" customWidth="1"/>
    <col min="2" max="2" width="55.57421875" style="0" customWidth="1"/>
    <col min="3" max="3" width="3.28125" style="0" customWidth="1"/>
    <col min="4" max="4" width="23.421875" style="0" customWidth="1"/>
    <col min="5" max="5" width="24.28125" style="0" customWidth="1"/>
    <col min="6" max="6" width="126.57421875" style="0" bestFit="1" customWidth="1"/>
    <col min="7" max="7" width="22.421875" style="0" customWidth="1"/>
    <col min="8" max="8" width="19.7109375" style="0" customWidth="1"/>
    <col min="9" max="9" width="18.00390625" style="0" customWidth="1"/>
    <col min="10" max="10" width="20.8515625" style="0" customWidth="1"/>
    <col min="11" max="11" width="24.421875" style="0" customWidth="1"/>
    <col min="15" max="26" width="0" style="0" hidden="1" customWidth="1"/>
  </cols>
  <sheetData>
    <row r="1" spans="1:16" ht="49.5" customHeight="1">
      <c r="A1" s="318" t="s">
        <v>343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P1" s="195" t="s">
        <v>316</v>
      </c>
    </row>
    <row r="2" spans="1:16" ht="49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P2" s="195" t="s">
        <v>317</v>
      </c>
    </row>
    <row r="3" spans="1:16" ht="49.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P3" s="20" t="s">
        <v>287</v>
      </c>
    </row>
    <row r="4" spans="1:11" ht="49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49.5" customHeight="1">
      <c r="A5" s="316" t="s">
        <v>147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</row>
    <row r="6" spans="1:11" ht="49.5" customHeight="1" thickBot="1">
      <c r="A6" s="320" t="s">
        <v>2</v>
      </c>
      <c r="B6" s="322" t="s">
        <v>3</v>
      </c>
      <c r="C6" s="323"/>
      <c r="D6" s="309" t="s">
        <v>4</v>
      </c>
      <c r="E6" s="309" t="s">
        <v>5</v>
      </c>
      <c r="F6" s="309" t="s">
        <v>6</v>
      </c>
      <c r="G6" s="309" t="s">
        <v>7</v>
      </c>
      <c r="H6" s="309" t="s">
        <v>8</v>
      </c>
      <c r="I6" s="309" t="s">
        <v>9</v>
      </c>
      <c r="J6" s="309" t="s">
        <v>10</v>
      </c>
      <c r="K6" s="310" t="s">
        <v>11</v>
      </c>
    </row>
    <row r="7" spans="1:25" ht="49.5" customHeight="1" thickBot="1" thickTop="1">
      <c r="A7" s="321"/>
      <c r="B7" s="324"/>
      <c r="C7" s="325"/>
      <c r="D7" s="311">
        <v>1</v>
      </c>
      <c r="E7" s="311">
        <v>2</v>
      </c>
      <c r="F7" s="311">
        <v>3</v>
      </c>
      <c r="G7" s="311">
        <v>4</v>
      </c>
      <c r="H7" s="311">
        <v>5</v>
      </c>
      <c r="I7" s="311">
        <v>6</v>
      </c>
      <c r="J7" s="311">
        <v>7</v>
      </c>
      <c r="K7" s="312">
        <v>8</v>
      </c>
      <c r="P7" s="196">
        <v>1</v>
      </c>
      <c r="Q7" s="196">
        <v>2</v>
      </c>
      <c r="R7" s="196">
        <v>3</v>
      </c>
      <c r="S7" s="196">
        <v>4</v>
      </c>
      <c r="T7" s="197"/>
      <c r="U7" s="197"/>
      <c r="V7" s="196">
        <v>1</v>
      </c>
      <c r="W7" s="196">
        <v>2</v>
      </c>
      <c r="X7" s="196">
        <v>3</v>
      </c>
      <c r="Y7" s="198">
        <v>4</v>
      </c>
    </row>
    <row r="8" spans="1:25" ht="49.5" customHeight="1" thickBot="1" thickTop="1">
      <c r="A8" s="330" t="s">
        <v>12</v>
      </c>
      <c r="B8" s="15" t="s">
        <v>13</v>
      </c>
      <c r="C8" s="4">
        <v>1</v>
      </c>
      <c r="D8" s="326"/>
      <c r="E8" s="13" t="s">
        <v>0</v>
      </c>
      <c r="F8" s="13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8" s="13" t="s">
        <v>15</v>
      </c>
      <c r="H8" s="326" t="s">
        <v>0</v>
      </c>
      <c r="I8" s="13" t="s">
        <v>0</v>
      </c>
      <c r="J8" s="13" t="s">
        <v>0</v>
      </c>
      <c r="K8" s="21">
        <f>IF(I8=P8,V8,IF(I8=Q8,W8,IF(I8=R8,X8,IF(I8=S8,Y8,IF(I8=" "," ",)))))</f>
        <v>0</v>
      </c>
      <c r="P8" s="200" t="s">
        <v>318</v>
      </c>
      <c r="Q8" s="200" t="s">
        <v>319</v>
      </c>
      <c r="R8" s="200" t="s">
        <v>320</v>
      </c>
      <c r="S8" s="200" t="s">
        <v>321</v>
      </c>
      <c r="T8" s="199"/>
      <c r="U8" s="199"/>
      <c r="V8" s="200" t="s">
        <v>322</v>
      </c>
      <c r="W8" s="200" t="s">
        <v>323</v>
      </c>
      <c r="X8" s="200" t="s">
        <v>324</v>
      </c>
      <c r="Y8" s="200" t="s">
        <v>325</v>
      </c>
    </row>
    <row r="9" spans="1:25" ht="49.5" customHeight="1" thickBot="1" thickTop="1">
      <c r="A9" s="329"/>
      <c r="B9" s="2" t="s">
        <v>16</v>
      </c>
      <c r="C9" s="3">
        <v>2</v>
      </c>
      <c r="D9" s="13"/>
      <c r="E9" s="1" t="s">
        <v>0</v>
      </c>
      <c r="F9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13" t="s">
        <v>0</v>
      </c>
      <c r="I9" s="13"/>
      <c r="J9" s="1" t="s">
        <v>0</v>
      </c>
      <c r="K9" s="21">
        <f aca="true" t="shared" si="0" ref="K9:K16">IF(I9=P9,V9,IF(I9=Q9,W9,IF(I9=R9,X9,IF(I9=S9,Y9,IF(I9=" "," ",)))))</f>
        <v>0</v>
      </c>
      <c r="P9" s="202" t="s">
        <v>318</v>
      </c>
      <c r="Q9" s="202" t="s">
        <v>319</v>
      </c>
      <c r="R9" s="202" t="s">
        <v>320</v>
      </c>
      <c r="S9" s="202" t="s">
        <v>321</v>
      </c>
      <c r="T9" s="201"/>
      <c r="U9" s="201"/>
      <c r="V9" s="202" t="s">
        <v>322</v>
      </c>
      <c r="W9" s="202" t="s">
        <v>323</v>
      </c>
      <c r="X9" s="202" t="s">
        <v>324</v>
      </c>
      <c r="Y9" s="202" t="s">
        <v>325</v>
      </c>
    </row>
    <row r="10" spans="1:25" ht="49.5" customHeight="1" thickBot="1" thickTop="1">
      <c r="A10" s="329"/>
      <c r="B10" s="2" t="s">
        <v>148</v>
      </c>
      <c r="C10" s="3">
        <v>3</v>
      </c>
      <c r="D10" s="13"/>
      <c r="E10" s="1" t="s">
        <v>0</v>
      </c>
      <c r="F10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13" t="s">
        <v>0</v>
      </c>
      <c r="I10" s="13" t="s">
        <v>0</v>
      </c>
      <c r="J10" s="1" t="s">
        <v>0</v>
      </c>
      <c r="K10" s="21">
        <f t="shared" si="0"/>
        <v>0</v>
      </c>
      <c r="P10" s="204" t="s">
        <v>318</v>
      </c>
      <c r="Q10" s="204" t="s">
        <v>319</v>
      </c>
      <c r="R10" s="204" t="s">
        <v>320</v>
      </c>
      <c r="S10" s="204" t="s">
        <v>321</v>
      </c>
      <c r="T10" s="203"/>
      <c r="U10" s="203"/>
      <c r="V10" s="204" t="s">
        <v>322</v>
      </c>
      <c r="W10" s="204" t="s">
        <v>323</v>
      </c>
      <c r="X10" s="204" t="s">
        <v>324</v>
      </c>
      <c r="Y10" s="204" t="s">
        <v>325</v>
      </c>
    </row>
    <row r="11" spans="1:25" ht="49.5" customHeight="1" thickBot="1" thickTop="1">
      <c r="A11" s="329"/>
      <c r="B11" s="2" t="s">
        <v>18</v>
      </c>
      <c r="C11" s="3">
        <v>4</v>
      </c>
      <c r="D11" s="13"/>
      <c r="E11" s="1" t="s">
        <v>0</v>
      </c>
      <c r="F11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13" t="s">
        <v>0</v>
      </c>
      <c r="I11" s="13" t="s">
        <v>0</v>
      </c>
      <c r="J11" s="1" t="s">
        <v>0</v>
      </c>
      <c r="K11" s="21">
        <f t="shared" si="0"/>
        <v>0</v>
      </c>
      <c r="P11" s="206" t="s">
        <v>318</v>
      </c>
      <c r="Q11" s="206" t="s">
        <v>319</v>
      </c>
      <c r="R11" s="206" t="s">
        <v>320</v>
      </c>
      <c r="S11" s="206" t="s">
        <v>321</v>
      </c>
      <c r="T11" s="205"/>
      <c r="U11" s="205"/>
      <c r="V11" s="206" t="s">
        <v>322</v>
      </c>
      <c r="W11" s="206" t="s">
        <v>323</v>
      </c>
      <c r="X11" s="206" t="s">
        <v>324</v>
      </c>
      <c r="Y11" s="206" t="s">
        <v>325</v>
      </c>
    </row>
    <row r="12" spans="1:25" ht="49.5" customHeight="1" thickBot="1" thickTop="1">
      <c r="A12" s="329"/>
      <c r="B12" s="2" t="s">
        <v>19</v>
      </c>
      <c r="C12" s="3">
        <v>5</v>
      </c>
      <c r="D12" s="13"/>
      <c r="E12" s="1" t="s">
        <v>0</v>
      </c>
      <c r="F12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13" t="s">
        <v>0</v>
      </c>
      <c r="I12" s="13" t="s">
        <v>0</v>
      </c>
      <c r="J12" s="1" t="s">
        <v>0</v>
      </c>
      <c r="K12" s="21">
        <f t="shared" si="0"/>
        <v>0</v>
      </c>
      <c r="P12" s="208" t="s">
        <v>318</v>
      </c>
      <c r="Q12" s="208" t="s">
        <v>319</v>
      </c>
      <c r="R12" s="208" t="s">
        <v>320</v>
      </c>
      <c r="S12" s="208" t="s">
        <v>321</v>
      </c>
      <c r="T12" s="207"/>
      <c r="U12" s="207"/>
      <c r="V12" s="208" t="s">
        <v>322</v>
      </c>
      <c r="W12" s="208" t="s">
        <v>323</v>
      </c>
      <c r="X12" s="208" t="s">
        <v>324</v>
      </c>
      <c r="Y12" s="208" t="s">
        <v>325</v>
      </c>
    </row>
    <row r="13" spans="1:25" ht="49.5" customHeight="1" thickBot="1" thickTop="1">
      <c r="A13" s="328"/>
      <c r="B13" s="2" t="s">
        <v>20</v>
      </c>
      <c r="C13" s="3">
        <v>6</v>
      </c>
      <c r="D13" s="13"/>
      <c r="E13" s="1" t="s">
        <v>0</v>
      </c>
      <c r="F13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3" s="1" t="s">
        <v>15</v>
      </c>
      <c r="H13" s="13" t="s">
        <v>0</v>
      </c>
      <c r="I13" s="13" t="s">
        <v>0</v>
      </c>
      <c r="J13" s="1" t="s">
        <v>0</v>
      </c>
      <c r="K13" s="21">
        <f t="shared" si="0"/>
        <v>0</v>
      </c>
      <c r="P13" s="210" t="s">
        <v>318</v>
      </c>
      <c r="Q13" s="210" t="s">
        <v>319</v>
      </c>
      <c r="R13" s="210" t="s">
        <v>320</v>
      </c>
      <c r="S13" s="210" t="s">
        <v>321</v>
      </c>
      <c r="T13" s="209"/>
      <c r="U13" s="209"/>
      <c r="V13" s="210" t="s">
        <v>322</v>
      </c>
      <c r="W13" s="210" t="s">
        <v>323</v>
      </c>
      <c r="X13" s="210" t="s">
        <v>324</v>
      </c>
      <c r="Y13" s="210" t="s">
        <v>325</v>
      </c>
    </row>
    <row r="14" spans="1:25" ht="49.5" customHeight="1" thickBot="1" thickTop="1">
      <c r="A14" s="327" t="s">
        <v>21</v>
      </c>
      <c r="B14" s="2" t="s">
        <v>149</v>
      </c>
      <c r="C14" s="3">
        <v>7</v>
      </c>
      <c r="D14" s="13"/>
      <c r="E14" s="1" t="s">
        <v>0</v>
      </c>
      <c r="F14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4" s="1" t="s">
        <v>15</v>
      </c>
      <c r="H14" s="13" t="s">
        <v>0</v>
      </c>
      <c r="I14" s="13" t="s">
        <v>0</v>
      </c>
      <c r="J14" s="1" t="s">
        <v>0</v>
      </c>
      <c r="K14" s="21">
        <f t="shared" si="0"/>
        <v>0</v>
      </c>
      <c r="P14" s="212" t="s">
        <v>318</v>
      </c>
      <c r="Q14" s="212" t="s">
        <v>319</v>
      </c>
      <c r="R14" s="212" t="s">
        <v>320</v>
      </c>
      <c r="S14" s="212" t="s">
        <v>321</v>
      </c>
      <c r="T14" s="211"/>
      <c r="U14" s="211"/>
      <c r="V14" s="212" t="s">
        <v>322</v>
      </c>
      <c r="W14" s="212" t="s">
        <v>323</v>
      </c>
      <c r="X14" s="212" t="s">
        <v>324</v>
      </c>
      <c r="Y14" s="212" t="s">
        <v>325</v>
      </c>
    </row>
    <row r="15" spans="1:25" ht="49.5" customHeight="1" thickBot="1" thickTop="1">
      <c r="A15" s="329"/>
      <c r="B15" s="2" t="s">
        <v>150</v>
      </c>
      <c r="C15" s="3">
        <v>8</v>
      </c>
      <c r="D15" s="13"/>
      <c r="E15" s="1" t="s">
        <v>0</v>
      </c>
      <c r="F15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5" s="1" t="s">
        <v>15</v>
      </c>
      <c r="H15" s="13" t="s">
        <v>0</v>
      </c>
      <c r="I15" s="13" t="s">
        <v>0</v>
      </c>
      <c r="J15" s="1" t="s">
        <v>0</v>
      </c>
      <c r="K15" s="21">
        <f t="shared" si="0"/>
        <v>0</v>
      </c>
      <c r="P15" s="214" t="s">
        <v>318</v>
      </c>
      <c r="Q15" s="214" t="s">
        <v>319</v>
      </c>
      <c r="R15" s="214" t="s">
        <v>320</v>
      </c>
      <c r="S15" s="214" t="s">
        <v>321</v>
      </c>
      <c r="T15" s="213"/>
      <c r="U15" s="213"/>
      <c r="V15" s="214" t="s">
        <v>322</v>
      </c>
      <c r="W15" s="214" t="s">
        <v>323</v>
      </c>
      <c r="X15" s="214" t="s">
        <v>324</v>
      </c>
      <c r="Y15" s="214" t="s">
        <v>325</v>
      </c>
    </row>
    <row r="16" spans="1:25" ht="49.5" customHeight="1" thickBot="1" thickTop="1">
      <c r="A16" s="331"/>
      <c r="B16" s="14" t="s">
        <v>151</v>
      </c>
      <c r="C16" s="7">
        <v>9</v>
      </c>
      <c r="D16" s="13"/>
      <c r="E16" s="8" t="s">
        <v>0</v>
      </c>
      <c r="F16" s="8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6" s="8" t="s">
        <v>15</v>
      </c>
      <c r="H16" s="13" t="s">
        <v>0</v>
      </c>
      <c r="I16" s="13" t="s">
        <v>0</v>
      </c>
      <c r="J16" s="8" t="s">
        <v>0</v>
      </c>
      <c r="K16" s="21">
        <f t="shared" si="0"/>
        <v>0</v>
      </c>
      <c r="P16" s="216" t="s">
        <v>318</v>
      </c>
      <c r="Q16" s="216" t="s">
        <v>319</v>
      </c>
      <c r="R16" s="216" t="s">
        <v>320</v>
      </c>
      <c r="S16" s="216" t="s">
        <v>321</v>
      </c>
      <c r="T16" s="215"/>
      <c r="U16" s="215"/>
      <c r="V16" s="216" t="s">
        <v>322</v>
      </c>
      <c r="W16" s="216" t="s">
        <v>323</v>
      </c>
      <c r="X16" s="216" t="s">
        <v>324</v>
      </c>
      <c r="Y16" s="216" t="s">
        <v>325</v>
      </c>
    </row>
    <row r="17" spans="1:11" ht="49.5" customHeight="1" thickTop="1">
      <c r="A17" s="314" t="s">
        <v>152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9" spans="1:11" ht="49.5" customHeight="1">
      <c r="A19" s="316" t="s">
        <v>199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</row>
    <row r="20" spans="1:11" ht="49.5" customHeight="1" thickBot="1">
      <c r="A20" s="320" t="s">
        <v>2</v>
      </c>
      <c r="B20" s="322" t="s">
        <v>3</v>
      </c>
      <c r="C20" s="323"/>
      <c r="D20" s="309" t="s">
        <v>4</v>
      </c>
      <c r="E20" s="309" t="s">
        <v>5</v>
      </c>
      <c r="F20" s="309" t="s">
        <v>6</v>
      </c>
      <c r="G20" s="309" t="s">
        <v>7</v>
      </c>
      <c r="H20" s="309" t="s">
        <v>27</v>
      </c>
      <c r="I20" s="309" t="s">
        <v>9</v>
      </c>
      <c r="J20" s="309" t="s">
        <v>10</v>
      </c>
      <c r="K20" s="310" t="s">
        <v>200</v>
      </c>
    </row>
    <row r="21" spans="1:11" ht="49.5" customHeight="1" thickBot="1" thickTop="1">
      <c r="A21" s="321"/>
      <c r="B21" s="324"/>
      <c r="C21" s="325"/>
      <c r="D21" s="311">
        <v>1</v>
      </c>
      <c r="E21" s="311">
        <v>2</v>
      </c>
      <c r="F21" s="311">
        <v>3</v>
      </c>
      <c r="G21" s="311">
        <v>4</v>
      </c>
      <c r="H21" s="311">
        <v>5</v>
      </c>
      <c r="I21" s="311">
        <v>6</v>
      </c>
      <c r="J21" s="311">
        <v>7</v>
      </c>
      <c r="K21" s="312">
        <v>8</v>
      </c>
    </row>
    <row r="22" spans="1:23" ht="49.5" customHeight="1" thickBot="1" thickTop="1">
      <c r="A22" s="11" t="s">
        <v>201</v>
      </c>
      <c r="B22" s="15" t="s">
        <v>202</v>
      </c>
      <c r="C22" s="4">
        <v>1</v>
      </c>
      <c r="D22" s="13"/>
      <c r="E22" s="13" t="s">
        <v>0</v>
      </c>
      <c r="F22" s="13" t="str">
        <f>"art. 11 ust. 2 pkt 3 "&amp;prawo!B3</f>
        <v>art. 11 ust. 2 pkt 3 ustawy z dnia 5 grudnia 2008 r. o zapobieganiu oraz zwalczaniu zakażeń i chorób zakaźnych u ludzi (tekst jednolity Dz.U. z 2018 poz. 151);</v>
      </c>
      <c r="G22" s="13" t="s">
        <v>87</v>
      </c>
      <c r="H22" s="13" t="s">
        <v>0</v>
      </c>
      <c r="I22" s="13" t="s">
        <v>0</v>
      </c>
      <c r="J22" s="13" t="s">
        <v>0</v>
      </c>
      <c r="K22" s="21">
        <f aca="true" t="shared" si="1" ref="K22:K33">IF(I22=P22,V22,IF(I22=Q22,W22,IF(I22=R22,X22,IF(I22=S22,Y22,IF(I22=" "," ",)))))</f>
        <v>0</v>
      </c>
      <c r="P22" s="217" t="s">
        <v>333</v>
      </c>
      <c r="Q22" s="217" t="s">
        <v>334</v>
      </c>
      <c r="V22" s="217" t="s">
        <v>335</v>
      </c>
      <c r="W22" s="217" t="s">
        <v>336</v>
      </c>
    </row>
    <row r="23" spans="1:23" ht="49.5" customHeight="1" thickBot="1" thickTop="1">
      <c r="A23" s="5" t="s">
        <v>203</v>
      </c>
      <c r="B23" s="2" t="s">
        <v>204</v>
      </c>
      <c r="C23" s="3">
        <v>2</v>
      </c>
      <c r="D23" s="13"/>
      <c r="E23" s="1" t="s">
        <v>0</v>
      </c>
      <c r="F23" s="1" t="str">
        <f>"art. 11 ust. 2 pkt 3 "&amp;prawo!B3</f>
        <v>art. 11 ust. 2 pkt 3 ustawy z dnia 5 grudnia 2008 r. o zapobieganiu oraz zwalczaniu zakażeń i chorób zakaźnych u ludzi (tekst jednolity Dz.U. z 2018 poz. 151);</v>
      </c>
      <c r="G23" s="1" t="s">
        <v>87</v>
      </c>
      <c r="H23" s="13" t="s">
        <v>0</v>
      </c>
      <c r="I23" s="13" t="s">
        <v>0</v>
      </c>
      <c r="J23" s="1" t="s">
        <v>0</v>
      </c>
      <c r="K23" s="21">
        <f t="shared" si="1"/>
        <v>0</v>
      </c>
      <c r="P23" s="218" t="s">
        <v>333</v>
      </c>
      <c r="Q23" s="218" t="s">
        <v>334</v>
      </c>
      <c r="V23" s="218" t="s">
        <v>335</v>
      </c>
      <c r="W23" s="218" t="s">
        <v>336</v>
      </c>
    </row>
    <row r="24" spans="1:25" ht="49.5" customHeight="1" thickBot="1" thickTop="1">
      <c r="A24" s="5" t="s">
        <v>205</v>
      </c>
      <c r="B24" s="2" t="s">
        <v>206</v>
      </c>
      <c r="C24" s="3">
        <v>3</v>
      </c>
      <c r="D24" s="13"/>
      <c r="E24" s="1" t="s">
        <v>0</v>
      </c>
      <c r="F24" s="1" t="str">
        <f>"§26 ust. 1 "&amp;prawo!B5&amp;" oraz art. 11 ust. 2 pkt 3 "&amp;prawo!B3</f>
        <v>§26 ust. 1 rozporządzenia Ministra Zdrowia z dnia 26 czerwca 2012 r. w sprawie szczegółowych wymagań, jakim powinny odpowiadać pomieszczenia i urządzenia podmiotu wykonującego działalność leczniczą (Dz.U. z 2012 r. poz. 739); oraz art. 11 ust. 2 pkt 3 ustawy z dnia 5 grudnia 2008 r. o zapobieganiu oraz zwalczaniu zakażeń i chorób zakaźnych u ludzi (tekst jednolity Dz.U. z 2018 poz. 151);</v>
      </c>
      <c r="G24" s="1" t="s">
        <v>15</v>
      </c>
      <c r="H24" s="13" t="s">
        <v>0</v>
      </c>
      <c r="I24" s="1" t="s">
        <v>0</v>
      </c>
      <c r="J24" s="1" t="s">
        <v>0</v>
      </c>
      <c r="K24" s="21">
        <f t="shared" si="1"/>
        <v>0</v>
      </c>
      <c r="P24" s="219" t="s">
        <v>318</v>
      </c>
      <c r="Q24" s="219" t="s">
        <v>319</v>
      </c>
      <c r="R24" s="219" t="s">
        <v>320</v>
      </c>
      <c r="S24" s="219" t="s">
        <v>321</v>
      </c>
      <c r="V24" s="219" t="s">
        <v>322</v>
      </c>
      <c r="W24" s="219" t="s">
        <v>323</v>
      </c>
      <c r="X24" s="219" t="s">
        <v>324</v>
      </c>
      <c r="Y24" s="219" t="s">
        <v>325</v>
      </c>
    </row>
    <row r="25" spans="1:25" ht="49.5" customHeight="1" thickBot="1" thickTop="1">
      <c r="A25" s="327" t="s">
        <v>207</v>
      </c>
      <c r="B25" s="2" t="s">
        <v>208</v>
      </c>
      <c r="C25" s="3">
        <v>4</v>
      </c>
      <c r="D25" s="13"/>
      <c r="E25" s="1" t="s">
        <v>0</v>
      </c>
      <c r="F25" s="1" t="str">
        <f>"załącznik nr 2 ust. 10 pkt 1, załącznik nr 3 ust. 3 "&amp;prawo!B5</f>
        <v>załącznik nr 2 ust. 10 pkt 1,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5" s="1" t="s">
        <v>15</v>
      </c>
      <c r="H25" s="13" t="s">
        <v>0</v>
      </c>
      <c r="I25" s="1" t="s">
        <v>0</v>
      </c>
      <c r="J25" s="1" t="s">
        <v>0</v>
      </c>
      <c r="K25" s="21">
        <f t="shared" si="1"/>
        <v>0</v>
      </c>
      <c r="P25" s="220" t="s">
        <v>318</v>
      </c>
      <c r="Q25" s="220" t="s">
        <v>319</v>
      </c>
      <c r="R25" s="220" t="s">
        <v>320</v>
      </c>
      <c r="S25" s="220" t="s">
        <v>321</v>
      </c>
      <c r="V25" s="220" t="s">
        <v>322</v>
      </c>
      <c r="W25" s="220" t="s">
        <v>323</v>
      </c>
      <c r="X25" s="220" t="s">
        <v>324</v>
      </c>
      <c r="Y25" s="220" t="s">
        <v>325</v>
      </c>
    </row>
    <row r="26" spans="1:25" ht="49.5" customHeight="1" thickBot="1" thickTop="1">
      <c r="A26" s="329"/>
      <c r="B26" s="2" t="s">
        <v>209</v>
      </c>
      <c r="C26" s="3">
        <v>5</v>
      </c>
      <c r="D26" s="13"/>
      <c r="E26" s="1" t="s">
        <v>0</v>
      </c>
      <c r="F26" s="1" t="str">
        <f>"załącznik nr 2 ust. 10 pkt 2, załącznik nr 3 ust. 3 "&amp;prawo!B5</f>
        <v>załącznik nr 2 ust. 10 pkt 2,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6" s="1" t="s">
        <v>15</v>
      </c>
      <c r="H26" s="13" t="s">
        <v>0</v>
      </c>
      <c r="I26" s="1" t="s">
        <v>0</v>
      </c>
      <c r="J26" s="1" t="s">
        <v>0</v>
      </c>
      <c r="K26" s="21">
        <f t="shared" si="1"/>
        <v>0</v>
      </c>
      <c r="P26" s="221" t="s">
        <v>318</v>
      </c>
      <c r="Q26" s="221" t="s">
        <v>319</v>
      </c>
      <c r="R26" s="221" t="s">
        <v>320</v>
      </c>
      <c r="S26" s="221" t="s">
        <v>321</v>
      </c>
      <c r="V26" s="221" t="s">
        <v>322</v>
      </c>
      <c r="W26" s="221" t="s">
        <v>323</v>
      </c>
      <c r="X26" s="221" t="s">
        <v>324</v>
      </c>
      <c r="Y26" s="221" t="s">
        <v>325</v>
      </c>
    </row>
    <row r="27" spans="1:25" ht="49.5" customHeight="1" thickBot="1" thickTop="1">
      <c r="A27" s="329"/>
      <c r="B27" s="2" t="s">
        <v>210</v>
      </c>
      <c r="C27" s="3">
        <v>6</v>
      </c>
      <c r="D27" s="13"/>
      <c r="E27" s="1" t="s">
        <v>0</v>
      </c>
      <c r="F27" s="1" t="str">
        <f>"załącznik nr 2 ust. 10 pkt 3, załącznik nr 3 ust. 3 "&amp;prawo!B5</f>
        <v>załącznik nr 2 ust. 10 pkt 3,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7" s="1" t="s">
        <v>15</v>
      </c>
      <c r="H27" s="13" t="s">
        <v>0</v>
      </c>
      <c r="I27" s="1" t="s">
        <v>0</v>
      </c>
      <c r="J27" s="1" t="s">
        <v>0</v>
      </c>
      <c r="K27" s="21">
        <f t="shared" si="1"/>
        <v>0</v>
      </c>
      <c r="P27" s="222" t="s">
        <v>318</v>
      </c>
      <c r="Q27" s="222" t="s">
        <v>319</v>
      </c>
      <c r="R27" s="222" t="s">
        <v>320</v>
      </c>
      <c r="S27" s="222" t="s">
        <v>321</v>
      </c>
      <c r="V27" s="222" t="s">
        <v>322</v>
      </c>
      <c r="W27" s="222" t="s">
        <v>323</v>
      </c>
      <c r="X27" s="222" t="s">
        <v>324</v>
      </c>
      <c r="Y27" s="222" t="s">
        <v>325</v>
      </c>
    </row>
    <row r="28" spans="1:25" ht="49.5" customHeight="1" thickBot="1" thickTop="1">
      <c r="A28" s="329"/>
      <c r="B28" s="2" t="s">
        <v>211</v>
      </c>
      <c r="C28" s="3">
        <v>7</v>
      </c>
      <c r="D28" s="13"/>
      <c r="E28" s="1" t="s">
        <v>0</v>
      </c>
      <c r="F28" s="1" t="str">
        <f>"załącznik nr 2 ust. 10 pkt 4, załącznik nr 3 ust. 3 "&amp;prawo!B5</f>
        <v>załącznik nr 2 ust. 10 pkt 4,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8" s="1" t="s">
        <v>15</v>
      </c>
      <c r="H28" s="13" t="s">
        <v>0</v>
      </c>
      <c r="I28" s="1" t="s">
        <v>0</v>
      </c>
      <c r="J28" s="1" t="s">
        <v>0</v>
      </c>
      <c r="K28" s="21">
        <f t="shared" si="1"/>
        <v>0</v>
      </c>
      <c r="P28" s="223" t="s">
        <v>318</v>
      </c>
      <c r="Q28" s="223" t="s">
        <v>319</v>
      </c>
      <c r="R28" s="223" t="s">
        <v>320</v>
      </c>
      <c r="S28" s="223" t="s">
        <v>321</v>
      </c>
      <c r="V28" s="223" t="s">
        <v>322</v>
      </c>
      <c r="W28" s="223" t="s">
        <v>323</v>
      </c>
      <c r="X28" s="223" t="s">
        <v>324</v>
      </c>
      <c r="Y28" s="223" t="s">
        <v>325</v>
      </c>
    </row>
    <row r="29" spans="1:25" ht="49.5" customHeight="1" thickBot="1" thickTop="1">
      <c r="A29" s="329"/>
      <c r="B29" s="2" t="s">
        <v>212</v>
      </c>
      <c r="C29" s="3">
        <v>8</v>
      </c>
      <c r="D29" s="13"/>
      <c r="E29" s="1" t="s">
        <v>0</v>
      </c>
      <c r="F29" s="1" t="str">
        <f>"załącznik nr 2 ust. 10 pkt 5, załącznik nr 3 ust. 3 "&amp;prawo!B5</f>
        <v>załącznik nr 2 ust. 10 pkt 5,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29" s="1" t="s">
        <v>15</v>
      </c>
      <c r="H29" s="13" t="s">
        <v>0</v>
      </c>
      <c r="I29" s="1" t="s">
        <v>0</v>
      </c>
      <c r="J29" s="1" t="s">
        <v>0</v>
      </c>
      <c r="K29" s="21">
        <f t="shared" si="1"/>
        <v>0</v>
      </c>
      <c r="P29" s="224" t="s">
        <v>318</v>
      </c>
      <c r="Q29" s="224" t="s">
        <v>319</v>
      </c>
      <c r="R29" s="224" t="s">
        <v>320</v>
      </c>
      <c r="S29" s="224" t="s">
        <v>321</v>
      </c>
      <c r="V29" s="224" t="s">
        <v>322</v>
      </c>
      <c r="W29" s="224" t="s">
        <v>323</v>
      </c>
      <c r="X29" s="224" t="s">
        <v>324</v>
      </c>
      <c r="Y29" s="224" t="s">
        <v>325</v>
      </c>
    </row>
    <row r="30" spans="1:25" ht="49.5" customHeight="1" thickBot="1" thickTop="1">
      <c r="A30" s="329"/>
      <c r="B30" s="2" t="s">
        <v>213</v>
      </c>
      <c r="C30" s="3">
        <v>9</v>
      </c>
      <c r="D30" s="13"/>
      <c r="E30" s="1" t="s">
        <v>0</v>
      </c>
      <c r="F30" s="1" t="str">
        <f>"§27, §30 "&amp;prawo!B5</f>
        <v>§27, §30 rozporządzenia Ministra Zdrowia z dnia 26 czerwca 2012 r. w sprawie szczegółowych wymagań, jakim powinny odpowiadać pomieszczenia i urządzenia podmiotu wykonującego działalność leczniczą (Dz.U. z 2012 r. poz. 739);</v>
      </c>
      <c r="G30" s="1" t="s">
        <v>15</v>
      </c>
      <c r="H30" s="13" t="s">
        <v>0</v>
      </c>
      <c r="I30" s="1" t="s">
        <v>0</v>
      </c>
      <c r="J30" s="1" t="s">
        <v>0</v>
      </c>
      <c r="K30" s="21">
        <f t="shared" si="1"/>
        <v>0</v>
      </c>
      <c r="P30" s="225" t="s">
        <v>318</v>
      </c>
      <c r="Q30" s="225" t="s">
        <v>319</v>
      </c>
      <c r="R30" s="225" t="s">
        <v>320</v>
      </c>
      <c r="S30" s="225" t="s">
        <v>321</v>
      </c>
      <c r="V30" s="225" t="s">
        <v>322</v>
      </c>
      <c r="W30" s="225" t="s">
        <v>323</v>
      </c>
      <c r="X30" s="225" t="s">
        <v>324</v>
      </c>
      <c r="Y30" s="225" t="s">
        <v>325</v>
      </c>
    </row>
    <row r="31" spans="1:25" ht="49.5" customHeight="1" thickBot="1" thickTop="1">
      <c r="A31" s="329"/>
      <c r="B31" s="2" t="s">
        <v>214</v>
      </c>
      <c r="C31" s="3">
        <v>10</v>
      </c>
      <c r="D31" s="13"/>
      <c r="E31" s="1" t="s">
        <v>0</v>
      </c>
      <c r="F31" s="1" t="str">
        <f>"załącznik nr 2 ust. 10 pkt 6, załącznik nr 3 ust. 3 "&amp;prawo!B5</f>
        <v>załącznik nr 2 ust. 10 pkt 6,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31" s="1" t="s">
        <v>15</v>
      </c>
      <c r="H31" s="13" t="s">
        <v>0</v>
      </c>
      <c r="I31" s="1" t="s">
        <v>0</v>
      </c>
      <c r="J31" s="1" t="s">
        <v>0</v>
      </c>
      <c r="K31" s="21">
        <f t="shared" si="1"/>
        <v>0</v>
      </c>
      <c r="P31" s="226" t="s">
        <v>318</v>
      </c>
      <c r="Q31" s="226" t="s">
        <v>319</v>
      </c>
      <c r="R31" s="226" t="s">
        <v>320</v>
      </c>
      <c r="S31" s="226" t="s">
        <v>321</v>
      </c>
      <c r="V31" s="226" t="s">
        <v>322</v>
      </c>
      <c r="W31" s="226" t="s">
        <v>323</v>
      </c>
      <c r="X31" s="226" t="s">
        <v>324</v>
      </c>
      <c r="Y31" s="226" t="s">
        <v>325</v>
      </c>
    </row>
    <row r="32" spans="1:25" ht="49.5" customHeight="1" thickBot="1" thickTop="1">
      <c r="A32" s="329"/>
      <c r="B32" s="2" t="s">
        <v>215</v>
      </c>
      <c r="C32" s="3">
        <v>11</v>
      </c>
      <c r="D32" s="13"/>
      <c r="E32" s="1" t="s">
        <v>0</v>
      </c>
      <c r="F32" s="1" t="str">
        <f>"załącznik nr 2 ust. 11, załącznik nr 3 ust. 3 "&amp;prawo!B5</f>
        <v>załącznik nr 2 ust. 11,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32" s="1" t="s">
        <v>15</v>
      </c>
      <c r="H32" s="13" t="s">
        <v>0</v>
      </c>
      <c r="I32" s="1" t="s">
        <v>0</v>
      </c>
      <c r="J32" s="1" t="s">
        <v>0</v>
      </c>
      <c r="K32" s="21">
        <f t="shared" si="1"/>
        <v>0</v>
      </c>
      <c r="P32" s="227" t="s">
        <v>318</v>
      </c>
      <c r="Q32" s="227" t="s">
        <v>319</v>
      </c>
      <c r="R32" s="227" t="s">
        <v>320</v>
      </c>
      <c r="S32" s="227" t="s">
        <v>321</v>
      </c>
      <c r="V32" s="227" t="s">
        <v>322</v>
      </c>
      <c r="W32" s="227" t="s">
        <v>323</v>
      </c>
      <c r="X32" s="227" t="s">
        <v>324</v>
      </c>
      <c r="Y32" s="227" t="s">
        <v>325</v>
      </c>
    </row>
    <row r="33" spans="1:25" ht="49.5" customHeight="1" thickBot="1" thickTop="1">
      <c r="A33" s="331"/>
      <c r="B33" s="14" t="s">
        <v>216</v>
      </c>
      <c r="C33" s="7">
        <v>12</v>
      </c>
      <c r="D33" s="13"/>
      <c r="E33" s="8" t="s">
        <v>0</v>
      </c>
      <c r="F33" s="8" t="str">
        <f>"§16,  załącznik nr 2 ust. 9, załącznik nr 3 ust. 3 "&amp;prawo!B5</f>
        <v>§16,  załącznik nr 2 ust. 9, załącznik nr 3 ust. 3 rozporządzenia Ministra Zdrowia z dnia 26 czerwca 2012 r. w sprawie szczegółowych wymagań, jakim powinny odpowiadać pomieszczenia i urządzenia podmiotu wykonującego działalność leczniczą (Dz.U. z 2012 r. poz. 739);</v>
      </c>
      <c r="G33" s="8" t="s">
        <v>15</v>
      </c>
      <c r="H33" s="13" t="s">
        <v>0</v>
      </c>
      <c r="I33" s="1" t="s">
        <v>0</v>
      </c>
      <c r="J33" s="8" t="s">
        <v>0</v>
      </c>
      <c r="K33" s="21">
        <f t="shared" si="1"/>
        <v>0</v>
      </c>
      <c r="P33" s="228" t="s">
        <v>318</v>
      </c>
      <c r="Q33" s="228" t="s">
        <v>319</v>
      </c>
      <c r="R33" s="228" t="s">
        <v>320</v>
      </c>
      <c r="S33" s="228" t="s">
        <v>321</v>
      </c>
      <c r="V33" s="228" t="s">
        <v>322</v>
      </c>
      <c r="W33" s="228" t="s">
        <v>323</v>
      </c>
      <c r="X33" s="228" t="s">
        <v>324</v>
      </c>
      <c r="Y33" s="228" t="s">
        <v>325</v>
      </c>
    </row>
    <row r="34" spans="1:11" ht="49.5" customHeight="1" thickTop="1">
      <c r="A34" s="314" t="s">
        <v>217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</row>
  </sheetData>
  <sheetProtection/>
  <mergeCells count="12">
    <mergeCell ref="A34:K34"/>
    <mergeCell ref="A17:K17"/>
    <mergeCell ref="A19:K19"/>
    <mergeCell ref="A20:A21"/>
    <mergeCell ref="B20:C21"/>
    <mergeCell ref="A25:A33"/>
    <mergeCell ref="A14:A16"/>
    <mergeCell ref="A1:K4"/>
    <mergeCell ref="A5:K5"/>
    <mergeCell ref="A6:A7"/>
    <mergeCell ref="B6:C7"/>
    <mergeCell ref="A8:A13"/>
  </mergeCells>
  <dataValidations count="5">
    <dataValidation type="list" allowBlank="1" showInputMessage="1" showErrorMessage="1" sqref="D8:D16 D22:D33">
      <formula1>$P$1:$P$3</formula1>
    </dataValidation>
    <dataValidation type="list" allowBlank="1" showInputMessage="1" showErrorMessage="1" sqref="H8:H16 H22:H33">
      <formula1>$P$1:$P$2</formula1>
    </dataValidation>
    <dataValidation type="list" allowBlank="1" showInputMessage="1" showErrorMessage="1" sqref="I8:I16">
      <formula1>$P$8:$S$8</formula1>
    </dataValidation>
    <dataValidation type="list" allowBlank="1" showInputMessage="1" showErrorMessage="1" sqref="I22:I23">
      <formula1>$P$22:$Q$22</formula1>
    </dataValidation>
    <dataValidation type="list" allowBlank="1" showInputMessage="1" showErrorMessage="1" sqref="I24:I33">
      <formula1>$P$24:$S$24</formula1>
    </dataValidation>
  </dataValidations>
  <printOptions/>
  <pageMargins left="0.7" right="0.2" top="0.2" bottom="0.2" header="0.5" footer="0.5"/>
  <pageSetup horizontalDpi="300" verticalDpi="300" orientation="portrait" scale="39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0"/>
  <sheetViews>
    <sheetView zoomScale="75" zoomScaleNormal="75" zoomScalePageLayoutView="0" workbookViewId="0" topLeftCell="B1">
      <selection activeCell="H133" sqref="H133"/>
    </sheetView>
  </sheetViews>
  <sheetFormatPr defaultColWidth="9.140625" defaultRowHeight="49.5" customHeight="1"/>
  <cols>
    <col min="1" max="1" width="22.28125" style="0" customWidth="1"/>
    <col min="2" max="2" width="55.57421875" style="0" customWidth="1"/>
    <col min="3" max="3" width="3.28125" style="0" customWidth="1"/>
    <col min="4" max="4" width="21.8515625" style="0" customWidth="1"/>
    <col min="5" max="5" width="24.140625" style="0" customWidth="1"/>
    <col min="6" max="6" width="137.421875" style="0" bestFit="1" customWidth="1"/>
    <col min="7" max="7" width="18.7109375" style="0" customWidth="1"/>
    <col min="8" max="8" width="21.140625" style="0" customWidth="1"/>
    <col min="9" max="9" width="18.00390625" style="0" customWidth="1"/>
    <col min="10" max="10" width="19.421875" style="0" customWidth="1"/>
    <col min="11" max="11" width="23.28125" style="0" customWidth="1"/>
    <col min="15" max="25" width="0" style="0" hidden="1" customWidth="1"/>
  </cols>
  <sheetData>
    <row r="1" spans="1:16" ht="49.5" customHeight="1">
      <c r="A1" s="318" t="s">
        <v>344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P1" s="229" t="s">
        <v>316</v>
      </c>
    </row>
    <row r="2" spans="1:16" ht="49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P2" s="229" t="s">
        <v>317</v>
      </c>
    </row>
    <row r="3" spans="1:16" ht="49.5" customHeight="1">
      <c r="A3" s="316" t="s">
        <v>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P3" s="20" t="s">
        <v>287</v>
      </c>
    </row>
    <row r="4" spans="1:11" ht="49.5" customHeight="1" thickBot="1">
      <c r="A4" s="320" t="s">
        <v>2</v>
      </c>
      <c r="B4" s="322" t="s">
        <v>3</v>
      </c>
      <c r="C4" s="323"/>
      <c r="D4" s="309" t="s">
        <v>4</v>
      </c>
      <c r="E4" s="309" t="s">
        <v>5</v>
      </c>
      <c r="F4" s="309" t="s">
        <v>6</v>
      </c>
      <c r="G4" s="309" t="s">
        <v>7</v>
      </c>
      <c r="H4" s="309" t="s">
        <v>8</v>
      </c>
      <c r="I4" s="309" t="s">
        <v>9</v>
      </c>
      <c r="J4" s="309" t="s">
        <v>10</v>
      </c>
      <c r="K4" s="310" t="s">
        <v>11</v>
      </c>
    </row>
    <row r="5" spans="1:25" ht="49.5" customHeight="1" thickBot="1" thickTop="1">
      <c r="A5" s="321"/>
      <c r="B5" s="324"/>
      <c r="C5" s="325"/>
      <c r="D5" s="311">
        <v>1</v>
      </c>
      <c r="E5" s="311">
        <v>2</v>
      </c>
      <c r="F5" s="311">
        <v>3</v>
      </c>
      <c r="G5" s="311">
        <v>4</v>
      </c>
      <c r="H5" s="311">
        <v>5</v>
      </c>
      <c r="I5" s="311">
        <v>6</v>
      </c>
      <c r="J5" s="311">
        <v>7</v>
      </c>
      <c r="K5" s="312">
        <v>8</v>
      </c>
      <c r="P5" s="230">
        <v>1</v>
      </c>
      <c r="Q5" s="230">
        <v>2</v>
      </c>
      <c r="R5" s="230">
        <v>3</v>
      </c>
      <c r="S5" s="230">
        <v>4</v>
      </c>
      <c r="T5" s="231"/>
      <c r="U5" s="231"/>
      <c r="V5" s="230">
        <v>1</v>
      </c>
      <c r="W5" s="230">
        <v>2</v>
      </c>
      <c r="X5" s="230">
        <v>3</v>
      </c>
      <c r="Y5" s="232">
        <v>4</v>
      </c>
    </row>
    <row r="6" spans="1:25" ht="49.5" customHeight="1" thickBot="1" thickTop="1">
      <c r="A6" s="11" t="s">
        <v>12</v>
      </c>
      <c r="B6" s="15" t="s">
        <v>13</v>
      </c>
      <c r="C6" s="4">
        <v>1</v>
      </c>
      <c r="D6" s="326"/>
      <c r="E6" s="13" t="s">
        <v>0</v>
      </c>
      <c r="F6" s="13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6" s="13" t="s">
        <v>15</v>
      </c>
      <c r="H6" s="326"/>
      <c r="I6" s="13"/>
      <c r="J6" s="13" t="s">
        <v>0</v>
      </c>
      <c r="K6" s="21">
        <f>IF(I6=P6,V6,IF(I6=Q6,W6,IF(I6=R6,X6,IF(I6=S6,Y6,IF(I6=" "," ",)))))</f>
        <v>0</v>
      </c>
      <c r="P6" s="234" t="s">
        <v>318</v>
      </c>
      <c r="Q6" s="234" t="s">
        <v>319</v>
      </c>
      <c r="R6" s="234" t="s">
        <v>320</v>
      </c>
      <c r="S6" s="234" t="s">
        <v>321</v>
      </c>
      <c r="T6" s="233"/>
      <c r="U6" s="233"/>
      <c r="V6" s="234" t="s">
        <v>322</v>
      </c>
      <c r="W6" s="234" t="s">
        <v>323</v>
      </c>
      <c r="X6" s="234" t="s">
        <v>324</v>
      </c>
      <c r="Y6" s="234" t="s">
        <v>325</v>
      </c>
    </row>
    <row r="7" spans="1:25" ht="49.5" customHeight="1" thickBot="1" thickTop="1">
      <c r="A7" s="5" t="s">
        <v>0</v>
      </c>
      <c r="B7" s="2" t="s">
        <v>16</v>
      </c>
      <c r="C7" s="3">
        <v>2</v>
      </c>
      <c r="D7" s="13"/>
      <c r="E7" s="1" t="s">
        <v>0</v>
      </c>
      <c r="F7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7" s="1" t="s">
        <v>15</v>
      </c>
      <c r="H7" s="13"/>
      <c r="I7" s="13" t="s">
        <v>0</v>
      </c>
      <c r="J7" s="1" t="s">
        <v>0</v>
      </c>
      <c r="K7" s="21">
        <f aca="true" t="shared" si="0" ref="K7:K14">IF(I7=P7,V7,IF(I7=Q7,W7,IF(I7=R7,X7,IF(I7=S7,Y7,IF(I7=" "," ",)))))</f>
        <v>0</v>
      </c>
      <c r="P7" s="236" t="s">
        <v>318</v>
      </c>
      <c r="Q7" s="236" t="s">
        <v>319</v>
      </c>
      <c r="R7" s="236" t="s">
        <v>320</v>
      </c>
      <c r="S7" s="236" t="s">
        <v>321</v>
      </c>
      <c r="T7" s="235"/>
      <c r="U7" s="235"/>
      <c r="V7" s="236" t="s">
        <v>322</v>
      </c>
      <c r="W7" s="236" t="s">
        <v>323</v>
      </c>
      <c r="X7" s="236" t="s">
        <v>324</v>
      </c>
      <c r="Y7" s="236" t="s">
        <v>325</v>
      </c>
    </row>
    <row r="8" spans="1:25" ht="49.5" customHeight="1" thickBot="1" thickTop="1">
      <c r="A8" s="5" t="s">
        <v>0</v>
      </c>
      <c r="B8" s="2" t="s">
        <v>17</v>
      </c>
      <c r="C8" s="3">
        <v>3</v>
      </c>
      <c r="D8" s="13"/>
      <c r="E8" s="1" t="s">
        <v>0</v>
      </c>
      <c r="F8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8" s="1" t="s">
        <v>15</v>
      </c>
      <c r="H8" s="13"/>
      <c r="I8" s="13" t="s">
        <v>0</v>
      </c>
      <c r="J8" s="1" t="s">
        <v>0</v>
      </c>
      <c r="K8" s="21">
        <f t="shared" si="0"/>
        <v>0</v>
      </c>
      <c r="P8" s="238" t="s">
        <v>318</v>
      </c>
      <c r="Q8" s="238" t="s">
        <v>319</v>
      </c>
      <c r="R8" s="238" t="s">
        <v>320</v>
      </c>
      <c r="S8" s="238" t="s">
        <v>321</v>
      </c>
      <c r="T8" s="237"/>
      <c r="U8" s="237"/>
      <c r="V8" s="238" t="s">
        <v>322</v>
      </c>
      <c r="W8" s="238" t="s">
        <v>323</v>
      </c>
      <c r="X8" s="238" t="s">
        <v>324</v>
      </c>
      <c r="Y8" s="238" t="s">
        <v>325</v>
      </c>
    </row>
    <row r="9" spans="1:25" ht="49.5" customHeight="1" thickBot="1" thickTop="1">
      <c r="A9" s="5" t="s">
        <v>0</v>
      </c>
      <c r="B9" s="2" t="s">
        <v>18</v>
      </c>
      <c r="C9" s="3">
        <v>4</v>
      </c>
      <c r="D9" s="13"/>
      <c r="E9" s="1" t="s">
        <v>0</v>
      </c>
      <c r="F9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13"/>
      <c r="I9" s="13" t="s">
        <v>0</v>
      </c>
      <c r="J9" s="1" t="s">
        <v>0</v>
      </c>
      <c r="K9" s="21">
        <f t="shared" si="0"/>
        <v>0</v>
      </c>
      <c r="P9" s="240" t="s">
        <v>318</v>
      </c>
      <c r="Q9" s="240" t="s">
        <v>319</v>
      </c>
      <c r="R9" s="240" t="s">
        <v>320</v>
      </c>
      <c r="S9" s="240" t="s">
        <v>321</v>
      </c>
      <c r="T9" s="239"/>
      <c r="U9" s="239"/>
      <c r="V9" s="240" t="s">
        <v>322</v>
      </c>
      <c r="W9" s="240" t="s">
        <v>323</v>
      </c>
      <c r="X9" s="240" t="s">
        <v>324</v>
      </c>
      <c r="Y9" s="240" t="s">
        <v>325</v>
      </c>
    </row>
    <row r="10" spans="1:25" ht="49.5" customHeight="1" thickBot="1" thickTop="1">
      <c r="A10" s="5" t="s">
        <v>0</v>
      </c>
      <c r="B10" s="2" t="s">
        <v>19</v>
      </c>
      <c r="C10" s="3">
        <v>5</v>
      </c>
      <c r="D10" s="13"/>
      <c r="E10" s="1" t="s">
        <v>0</v>
      </c>
      <c r="F10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13"/>
      <c r="I10" s="13" t="s">
        <v>0</v>
      </c>
      <c r="J10" s="1" t="s">
        <v>0</v>
      </c>
      <c r="K10" s="21">
        <f t="shared" si="0"/>
        <v>0</v>
      </c>
      <c r="P10" s="242" t="s">
        <v>318</v>
      </c>
      <c r="Q10" s="242" t="s">
        <v>319</v>
      </c>
      <c r="R10" s="242" t="s">
        <v>320</v>
      </c>
      <c r="S10" s="242" t="s">
        <v>321</v>
      </c>
      <c r="T10" s="241"/>
      <c r="U10" s="241"/>
      <c r="V10" s="242" t="s">
        <v>322</v>
      </c>
      <c r="W10" s="242" t="s">
        <v>323</v>
      </c>
      <c r="X10" s="242" t="s">
        <v>324</v>
      </c>
      <c r="Y10" s="242" t="s">
        <v>325</v>
      </c>
    </row>
    <row r="11" spans="1:25" ht="49.5" customHeight="1" thickBot="1" thickTop="1">
      <c r="A11" s="5" t="s">
        <v>0</v>
      </c>
      <c r="B11" s="2" t="s">
        <v>20</v>
      </c>
      <c r="C11" s="3">
        <v>6</v>
      </c>
      <c r="D11" s="13"/>
      <c r="E11" s="1" t="s">
        <v>0</v>
      </c>
      <c r="F11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13"/>
      <c r="I11" s="13" t="s">
        <v>0</v>
      </c>
      <c r="J11" s="1" t="s">
        <v>0</v>
      </c>
      <c r="K11" s="21">
        <f t="shared" si="0"/>
        <v>0</v>
      </c>
      <c r="P11" s="244" t="s">
        <v>318</v>
      </c>
      <c r="Q11" s="244" t="s">
        <v>319</v>
      </c>
      <c r="R11" s="244" t="s">
        <v>320</v>
      </c>
      <c r="S11" s="244" t="s">
        <v>321</v>
      </c>
      <c r="T11" s="243"/>
      <c r="U11" s="243"/>
      <c r="V11" s="244" t="s">
        <v>322</v>
      </c>
      <c r="W11" s="244" t="s">
        <v>323</v>
      </c>
      <c r="X11" s="244" t="s">
        <v>324</v>
      </c>
      <c r="Y11" s="244" t="s">
        <v>325</v>
      </c>
    </row>
    <row r="12" spans="1:25" ht="49.5" customHeight="1" thickBot="1" thickTop="1">
      <c r="A12" s="5" t="s">
        <v>21</v>
      </c>
      <c r="B12" s="2" t="s">
        <v>22</v>
      </c>
      <c r="C12" s="3">
        <v>7</v>
      </c>
      <c r="D12" s="13"/>
      <c r="E12" s="1" t="s">
        <v>0</v>
      </c>
      <c r="F12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13"/>
      <c r="I12" s="13" t="s">
        <v>0</v>
      </c>
      <c r="J12" s="1" t="s">
        <v>0</v>
      </c>
      <c r="K12" s="21">
        <f t="shared" si="0"/>
        <v>0</v>
      </c>
      <c r="P12" s="246" t="s">
        <v>318</v>
      </c>
      <c r="Q12" s="246" t="s">
        <v>319</v>
      </c>
      <c r="R12" s="246" t="s">
        <v>320</v>
      </c>
      <c r="S12" s="246" t="s">
        <v>321</v>
      </c>
      <c r="T12" s="245"/>
      <c r="U12" s="245"/>
      <c r="V12" s="246" t="s">
        <v>322</v>
      </c>
      <c r="W12" s="246" t="s">
        <v>323</v>
      </c>
      <c r="X12" s="246" t="s">
        <v>324</v>
      </c>
      <c r="Y12" s="246" t="s">
        <v>325</v>
      </c>
    </row>
    <row r="13" spans="1:25" ht="49.5" customHeight="1" thickBot="1" thickTop="1">
      <c r="A13" s="5" t="s">
        <v>0</v>
      </c>
      <c r="B13" s="2" t="s">
        <v>23</v>
      </c>
      <c r="C13" s="3">
        <v>8</v>
      </c>
      <c r="D13" s="13"/>
      <c r="E13" s="1" t="s">
        <v>0</v>
      </c>
      <c r="F13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3" s="1" t="s">
        <v>15</v>
      </c>
      <c r="H13" s="13"/>
      <c r="I13" s="13" t="s">
        <v>0</v>
      </c>
      <c r="J13" s="1" t="s">
        <v>0</v>
      </c>
      <c r="K13" s="21">
        <f t="shared" si="0"/>
        <v>0</v>
      </c>
      <c r="P13" s="248" t="s">
        <v>318</v>
      </c>
      <c r="Q13" s="248" t="s">
        <v>319</v>
      </c>
      <c r="R13" s="248" t="s">
        <v>320</v>
      </c>
      <c r="S13" s="248" t="s">
        <v>321</v>
      </c>
      <c r="T13" s="247"/>
      <c r="U13" s="247"/>
      <c r="V13" s="248" t="s">
        <v>322</v>
      </c>
      <c r="W13" s="248" t="s">
        <v>323</v>
      </c>
      <c r="X13" s="248" t="s">
        <v>324</v>
      </c>
      <c r="Y13" s="248" t="s">
        <v>325</v>
      </c>
    </row>
    <row r="14" spans="1:25" ht="49.5" customHeight="1" thickBot="1" thickTop="1">
      <c r="A14" s="6" t="s">
        <v>0</v>
      </c>
      <c r="B14" s="14" t="s">
        <v>24</v>
      </c>
      <c r="C14" s="7">
        <v>9</v>
      </c>
      <c r="D14" s="13"/>
      <c r="E14" s="8" t="s">
        <v>0</v>
      </c>
      <c r="F14" s="8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4" s="8" t="s">
        <v>15</v>
      </c>
      <c r="H14" s="13"/>
      <c r="I14" s="13" t="s">
        <v>0</v>
      </c>
      <c r="J14" s="8" t="s">
        <v>0</v>
      </c>
      <c r="K14" s="21">
        <f t="shared" si="0"/>
        <v>0</v>
      </c>
      <c r="P14" s="250" t="s">
        <v>318</v>
      </c>
      <c r="Q14" s="250" t="s">
        <v>319</v>
      </c>
      <c r="R14" s="250" t="s">
        <v>320</v>
      </c>
      <c r="S14" s="250" t="s">
        <v>321</v>
      </c>
      <c r="T14" s="249"/>
      <c r="U14" s="249"/>
      <c r="V14" s="250" t="s">
        <v>322</v>
      </c>
      <c r="W14" s="250" t="s">
        <v>323</v>
      </c>
      <c r="X14" s="250" t="s">
        <v>324</v>
      </c>
      <c r="Y14" s="250" t="s">
        <v>325</v>
      </c>
    </row>
    <row r="15" spans="1:11" ht="49.5" customHeight="1" thickTop="1">
      <c r="A15" s="314" t="s">
        <v>25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</row>
    <row r="17" spans="1:11" ht="49.5" customHeight="1">
      <c r="A17" s="316" t="s">
        <v>218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</row>
    <row r="18" spans="1:11" ht="49.5" customHeight="1" thickBot="1">
      <c r="A18" s="320" t="s">
        <v>2</v>
      </c>
      <c r="B18" s="322" t="s">
        <v>3</v>
      </c>
      <c r="C18" s="323"/>
      <c r="D18" s="309" t="s">
        <v>4</v>
      </c>
      <c r="E18" s="309" t="s">
        <v>5</v>
      </c>
      <c r="F18" s="309" t="s">
        <v>6</v>
      </c>
      <c r="G18" s="309" t="s">
        <v>7</v>
      </c>
      <c r="H18" s="309" t="s">
        <v>8</v>
      </c>
      <c r="I18" s="309" t="s">
        <v>9</v>
      </c>
      <c r="J18" s="309" t="s">
        <v>10</v>
      </c>
      <c r="K18" s="310" t="s">
        <v>11</v>
      </c>
    </row>
    <row r="19" spans="1:11" ht="49.5" customHeight="1" thickBot="1" thickTop="1">
      <c r="A19" s="321"/>
      <c r="B19" s="324"/>
      <c r="C19" s="325"/>
      <c r="D19" s="311">
        <v>1</v>
      </c>
      <c r="E19" s="311">
        <v>2</v>
      </c>
      <c r="F19" s="311">
        <v>3</v>
      </c>
      <c r="G19" s="311">
        <v>4</v>
      </c>
      <c r="H19" s="311">
        <v>5</v>
      </c>
      <c r="I19" s="311">
        <v>6</v>
      </c>
      <c r="J19" s="311">
        <v>7</v>
      </c>
      <c r="K19" s="312">
        <v>8</v>
      </c>
    </row>
    <row r="20" spans="1:25" ht="49.5" customHeight="1" thickBot="1" thickTop="1">
      <c r="A20" s="11" t="s">
        <v>219</v>
      </c>
      <c r="B20" s="15" t="s">
        <v>220</v>
      </c>
      <c r="C20" s="4">
        <v>1</v>
      </c>
      <c r="D20" s="13"/>
      <c r="E20" s="13" t="s">
        <v>0</v>
      </c>
      <c r="F20" s="13" t="str">
        <f>"załącznik nr 3 ust. 1 pkt 2 lit. a "&amp;prawo!B5</f>
        <v>załącznik nr 3 ust. 1 pkt 2 lit. a rozporządzenia Ministra Zdrowia z dnia 26 czerwca 2012 r. w sprawie szczegółowych wymagań, jakim powinny odpowiadać pomieszczenia i urządzenia podmiotu wykonującego działalność leczniczą (Dz.U. z 2012 r. poz. 739);</v>
      </c>
      <c r="G20" s="13" t="s">
        <v>15</v>
      </c>
      <c r="H20" s="13"/>
      <c r="I20" s="13" t="s">
        <v>0</v>
      </c>
      <c r="J20" s="13" t="s">
        <v>0</v>
      </c>
      <c r="K20" s="21">
        <f>IF(I20=P20,V20,IF(I20=Q20,W20,IF(I20=R20,X20,IF(I20=S20,Y20,IF(I20=" "," ",)))))</f>
        <v>0</v>
      </c>
      <c r="P20" s="252" t="s">
        <v>318</v>
      </c>
      <c r="Q20" s="252" t="s">
        <v>319</v>
      </c>
      <c r="R20" s="252" t="s">
        <v>320</v>
      </c>
      <c r="S20" s="252" t="s">
        <v>321</v>
      </c>
      <c r="T20" s="251"/>
      <c r="U20" s="251"/>
      <c r="V20" s="252" t="s">
        <v>322</v>
      </c>
      <c r="W20" s="252" t="s">
        <v>323</v>
      </c>
      <c r="X20" s="252" t="s">
        <v>324</v>
      </c>
      <c r="Y20" s="252" t="s">
        <v>325</v>
      </c>
    </row>
    <row r="21" spans="1:25" ht="49.5" customHeight="1" thickBot="1" thickTop="1">
      <c r="A21" s="5" t="s">
        <v>221</v>
      </c>
      <c r="B21" s="2" t="s">
        <v>222</v>
      </c>
      <c r="C21" s="3">
        <v>2</v>
      </c>
      <c r="D21" s="13"/>
      <c r="E21" s="1" t="s">
        <v>0</v>
      </c>
      <c r="F21" s="1" t="str">
        <f>"załącznik nr 3 ust. 1 pkt 2 lit. b  "&amp;prawo!B5</f>
        <v>załącznik nr 3 ust. 1 pkt 2 lit. b  rozporządzenia Ministra Zdrowia z dnia 26 czerwca 2012 r. w sprawie szczegółowych wymagań, jakim powinny odpowiadać pomieszczenia i urządzenia podmiotu wykonującego działalność leczniczą (Dz.U. z 2012 r. poz. 739);</v>
      </c>
      <c r="G21" s="1" t="s">
        <v>15</v>
      </c>
      <c r="H21" s="13"/>
      <c r="I21" s="13" t="s">
        <v>0</v>
      </c>
      <c r="J21" s="1" t="s">
        <v>0</v>
      </c>
      <c r="K21" s="21">
        <f>IF(I21=P21,V21,IF(I21=Q21,W21,IF(I21=R21,X21,IF(I21=S21,Y21,IF(I21=" "," ",)))))</f>
        <v>0</v>
      </c>
      <c r="P21" s="254" t="s">
        <v>318</v>
      </c>
      <c r="Q21" s="254" t="s">
        <v>319</v>
      </c>
      <c r="R21" s="254" t="s">
        <v>320</v>
      </c>
      <c r="S21" s="254" t="s">
        <v>321</v>
      </c>
      <c r="T21" s="253"/>
      <c r="U21" s="253"/>
      <c r="V21" s="254" t="s">
        <v>322</v>
      </c>
      <c r="W21" s="254" t="s">
        <v>323</v>
      </c>
      <c r="X21" s="254" t="s">
        <v>324</v>
      </c>
      <c r="Y21" s="254" t="s">
        <v>325</v>
      </c>
    </row>
    <row r="22" spans="1:25" ht="49.5" customHeight="1" thickBot="1" thickTop="1">
      <c r="A22" s="6" t="s">
        <v>223</v>
      </c>
      <c r="B22" s="14" t="s">
        <v>224</v>
      </c>
      <c r="C22" s="7">
        <v>3</v>
      </c>
      <c r="D22" s="13"/>
      <c r="E22" s="8" t="s">
        <v>0</v>
      </c>
      <c r="F22" s="8" t="str">
        <f>"załącznik nr 3 ust. 1 pkt 2 lit. c   "&amp;prawo!B5</f>
        <v>załącznik nr 3 ust. 1 pkt 2 lit. c   rozporządzenia Ministra Zdrowia z dnia 26 czerwca 2012 r. w sprawie szczegółowych wymagań, jakim powinny odpowiadać pomieszczenia i urządzenia podmiotu wykonującego działalność leczniczą (Dz.U. z 2012 r. poz. 739);</v>
      </c>
      <c r="G22" s="8" t="s">
        <v>15</v>
      </c>
      <c r="H22" s="13"/>
      <c r="I22" s="13" t="s">
        <v>0</v>
      </c>
      <c r="J22" s="8" t="s">
        <v>0</v>
      </c>
      <c r="K22" s="21">
        <f>IF(I22=P22,V22,IF(I22=Q22,W22,IF(I22=R22,X22,IF(I22=S22,Y22,IF(I22=" "," ",)))))</f>
        <v>0</v>
      </c>
      <c r="P22" s="256" t="s">
        <v>318</v>
      </c>
      <c r="Q22" s="256" t="s">
        <v>319</v>
      </c>
      <c r="R22" s="256" t="s">
        <v>320</v>
      </c>
      <c r="S22" s="256" t="s">
        <v>321</v>
      </c>
      <c r="T22" s="255"/>
      <c r="U22" s="255"/>
      <c r="V22" s="256" t="s">
        <v>322</v>
      </c>
      <c r="W22" s="256" t="s">
        <v>323</v>
      </c>
      <c r="X22" s="256" t="s">
        <v>324</v>
      </c>
      <c r="Y22" s="256" t="s">
        <v>325</v>
      </c>
    </row>
    <row r="23" spans="1:11" ht="49.5" customHeight="1" thickTop="1">
      <c r="A23" s="314" t="s">
        <v>25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</row>
    <row r="25" spans="1:11" ht="49.5" customHeight="1">
      <c r="A25" s="316" t="s">
        <v>225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  <row r="26" spans="1:11" ht="49.5" customHeight="1" thickBot="1">
      <c r="A26" s="320" t="s">
        <v>2</v>
      </c>
      <c r="B26" s="322" t="s">
        <v>3</v>
      </c>
      <c r="C26" s="323"/>
      <c r="D26" s="309" t="s">
        <v>4</v>
      </c>
      <c r="E26" s="309" t="s">
        <v>5</v>
      </c>
      <c r="F26" s="309" t="s">
        <v>6</v>
      </c>
      <c r="G26" s="309" t="s">
        <v>7</v>
      </c>
      <c r="H26" s="309" t="s">
        <v>8</v>
      </c>
      <c r="I26" s="309" t="s">
        <v>9</v>
      </c>
      <c r="J26" s="309" t="s">
        <v>10</v>
      </c>
      <c r="K26" s="310" t="s">
        <v>11</v>
      </c>
    </row>
    <row r="27" spans="1:11" ht="49.5" customHeight="1" thickBot="1" thickTop="1">
      <c r="A27" s="321"/>
      <c r="B27" s="324"/>
      <c r="C27" s="325"/>
      <c r="D27" s="311">
        <v>1</v>
      </c>
      <c r="E27" s="311">
        <v>2</v>
      </c>
      <c r="F27" s="311">
        <v>3</v>
      </c>
      <c r="G27" s="311">
        <v>4</v>
      </c>
      <c r="H27" s="311">
        <v>5</v>
      </c>
      <c r="I27" s="311">
        <v>6</v>
      </c>
      <c r="J27" s="311">
        <v>7</v>
      </c>
      <c r="K27" s="312">
        <v>8</v>
      </c>
    </row>
    <row r="28" spans="1:25" ht="49.5" customHeight="1" thickBot="1" thickTop="1">
      <c r="A28" s="11" t="s">
        <v>131</v>
      </c>
      <c r="B28" s="15" t="s">
        <v>132</v>
      </c>
      <c r="C28" s="4">
        <v>1</v>
      </c>
      <c r="D28" s="13"/>
      <c r="E28" s="13" t="s">
        <v>0</v>
      </c>
      <c r="F28" s="13" t="str">
        <f>"załącznik nr 3 ust. 1 pkt 1 "&amp;prawo!B5</f>
        <v>załącznik nr 3 ust. 1 pkt 1 rozporządzenia Ministra Zdrowia z dnia 26 czerwca 2012 r. w sprawie szczegółowych wymagań, jakim powinny odpowiadać pomieszczenia i urządzenia podmiotu wykonującego działalność leczniczą (Dz.U. z 2012 r. poz. 739);</v>
      </c>
      <c r="G28" s="13" t="s">
        <v>15</v>
      </c>
      <c r="H28" s="13"/>
      <c r="I28" s="13" t="s">
        <v>0</v>
      </c>
      <c r="J28" s="13" t="s">
        <v>0</v>
      </c>
      <c r="K28" s="21">
        <f aca="true" t="shared" si="1" ref="K28:K34">IF(I28=P28,V28,IF(I28=Q28,W28,IF(I28=R28,X28,IF(I28=S28,Y28,IF(I28=" "," ",)))))</f>
        <v>0</v>
      </c>
      <c r="P28" s="258" t="s">
        <v>318</v>
      </c>
      <c r="Q28" s="258" t="s">
        <v>319</v>
      </c>
      <c r="R28" s="258" t="s">
        <v>320</v>
      </c>
      <c r="S28" s="258" t="s">
        <v>321</v>
      </c>
      <c r="T28" s="257"/>
      <c r="U28" s="257"/>
      <c r="V28" s="258" t="s">
        <v>322</v>
      </c>
      <c r="W28" s="258" t="s">
        <v>323</v>
      </c>
      <c r="X28" s="258" t="s">
        <v>324</v>
      </c>
      <c r="Y28" s="258" t="s">
        <v>325</v>
      </c>
    </row>
    <row r="29" spans="1:25" ht="49.5" customHeight="1" thickBot="1" thickTop="1">
      <c r="A29" s="327" t="s">
        <v>64</v>
      </c>
      <c r="B29" s="2" t="s">
        <v>65</v>
      </c>
      <c r="C29" s="3">
        <v>2</v>
      </c>
      <c r="D29" s="13"/>
      <c r="E29" s="1" t="s">
        <v>0</v>
      </c>
      <c r="F29" s="1" t="str">
        <f>"§36 ust. 1 pkt 1 "&amp;prawo!B5</f>
        <v>§36 ust. 1 pkt 1 rozporządzenia Ministra Zdrowia z dnia 26 czerwca 2012 r. w sprawie szczegółowych wymagań, jakim powinny odpowiadać pomieszczenia i urządzenia podmiotu wykonującego działalność leczniczą (Dz.U. z 2012 r. poz. 739);</v>
      </c>
      <c r="G29" s="1" t="s">
        <v>15</v>
      </c>
      <c r="H29" s="13"/>
      <c r="I29" s="13" t="s">
        <v>0</v>
      </c>
      <c r="J29" s="1" t="s">
        <v>0</v>
      </c>
      <c r="K29" s="21">
        <f t="shared" si="1"/>
        <v>0</v>
      </c>
      <c r="P29" s="260" t="s">
        <v>318</v>
      </c>
      <c r="Q29" s="260" t="s">
        <v>319</v>
      </c>
      <c r="R29" s="260" t="s">
        <v>320</v>
      </c>
      <c r="S29" s="260" t="s">
        <v>321</v>
      </c>
      <c r="T29" s="259"/>
      <c r="U29" s="259"/>
      <c r="V29" s="260" t="s">
        <v>322</v>
      </c>
      <c r="W29" s="260" t="s">
        <v>323</v>
      </c>
      <c r="X29" s="260" t="s">
        <v>324</v>
      </c>
      <c r="Y29" s="260" t="s">
        <v>325</v>
      </c>
    </row>
    <row r="30" spans="1:25" ht="49.5" customHeight="1" thickBot="1" thickTop="1">
      <c r="A30" s="329"/>
      <c r="B30" s="2" t="s">
        <v>66</v>
      </c>
      <c r="C30" s="3">
        <v>3</v>
      </c>
      <c r="D30" s="13"/>
      <c r="E30" s="1" t="s">
        <v>0</v>
      </c>
      <c r="F30" s="1" t="str">
        <f>"§36 ust. 1 pkt 2 "&amp;prawo!B5</f>
        <v>§36 ust. 1 pkt 2 rozporządzenia Ministra Zdrowia z dnia 26 czerwca 2012 r. w sprawie szczegółowych wymagań, jakim powinny odpowiadać pomieszczenia i urządzenia podmiotu wykonującego działalność leczniczą (Dz.U. z 2012 r. poz. 739);</v>
      </c>
      <c r="G30" s="1" t="s">
        <v>15</v>
      </c>
      <c r="H30" s="13"/>
      <c r="I30" s="13" t="s">
        <v>0</v>
      </c>
      <c r="J30" s="1" t="s">
        <v>0</v>
      </c>
      <c r="K30" s="21">
        <f t="shared" si="1"/>
        <v>0</v>
      </c>
      <c r="P30" s="262" t="s">
        <v>318</v>
      </c>
      <c r="Q30" s="262" t="s">
        <v>319</v>
      </c>
      <c r="R30" s="262" t="s">
        <v>320</v>
      </c>
      <c r="S30" s="262" t="s">
        <v>321</v>
      </c>
      <c r="T30" s="261"/>
      <c r="U30" s="261"/>
      <c r="V30" s="262" t="s">
        <v>322</v>
      </c>
      <c r="W30" s="262" t="s">
        <v>323</v>
      </c>
      <c r="X30" s="262" t="s">
        <v>324</v>
      </c>
      <c r="Y30" s="262" t="s">
        <v>325</v>
      </c>
    </row>
    <row r="31" spans="1:25" ht="49.5" customHeight="1" thickBot="1" thickTop="1">
      <c r="A31" s="329"/>
      <c r="B31" s="2" t="s">
        <v>67</v>
      </c>
      <c r="C31" s="3">
        <v>4</v>
      </c>
      <c r="D31" s="13"/>
      <c r="E31" s="1" t="s">
        <v>0</v>
      </c>
      <c r="F31" s="1" t="str">
        <f>"§36 ust. 1 pkt 3 "&amp;prawo!B5</f>
        <v>§36 ust. 1 pkt 3 rozporządzenia Ministra Zdrowia z dnia 26 czerwca 2012 r. w sprawie szczegółowych wymagań, jakim powinny odpowiadać pomieszczenia i urządzenia podmiotu wykonującego działalność leczniczą (Dz.U. z 2012 r. poz. 739);</v>
      </c>
      <c r="G31" s="1" t="s">
        <v>15</v>
      </c>
      <c r="H31" s="13"/>
      <c r="I31" s="13" t="s">
        <v>0</v>
      </c>
      <c r="J31" s="1" t="s">
        <v>0</v>
      </c>
      <c r="K31" s="21">
        <f t="shared" si="1"/>
        <v>0</v>
      </c>
      <c r="P31" s="264" t="s">
        <v>318</v>
      </c>
      <c r="Q31" s="264" t="s">
        <v>319</v>
      </c>
      <c r="R31" s="264" t="s">
        <v>320</v>
      </c>
      <c r="S31" s="264" t="s">
        <v>321</v>
      </c>
      <c r="T31" s="263"/>
      <c r="U31" s="263"/>
      <c r="V31" s="264" t="s">
        <v>322</v>
      </c>
      <c r="W31" s="264" t="s">
        <v>323</v>
      </c>
      <c r="X31" s="264" t="s">
        <v>324</v>
      </c>
      <c r="Y31" s="264" t="s">
        <v>325</v>
      </c>
    </row>
    <row r="32" spans="1:25" ht="49.5" customHeight="1" thickBot="1" thickTop="1">
      <c r="A32" s="329"/>
      <c r="B32" s="2" t="s">
        <v>68</v>
      </c>
      <c r="C32" s="3">
        <v>5</v>
      </c>
      <c r="D32" s="13"/>
      <c r="E32" s="1" t="s">
        <v>0</v>
      </c>
      <c r="F32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32" s="1" t="s">
        <v>15</v>
      </c>
      <c r="H32" s="13"/>
      <c r="I32" s="13" t="s">
        <v>0</v>
      </c>
      <c r="J32" s="1" t="s">
        <v>0</v>
      </c>
      <c r="K32" s="21">
        <f t="shared" si="1"/>
        <v>0</v>
      </c>
      <c r="P32" s="266" t="s">
        <v>318</v>
      </c>
      <c r="Q32" s="266" t="s">
        <v>319</v>
      </c>
      <c r="R32" s="266" t="s">
        <v>320</v>
      </c>
      <c r="S32" s="266" t="s">
        <v>321</v>
      </c>
      <c r="T32" s="265"/>
      <c r="U32" s="265"/>
      <c r="V32" s="266" t="s">
        <v>322</v>
      </c>
      <c r="W32" s="266" t="s">
        <v>323</v>
      </c>
      <c r="X32" s="266" t="s">
        <v>324</v>
      </c>
      <c r="Y32" s="266" t="s">
        <v>325</v>
      </c>
    </row>
    <row r="33" spans="1:25" ht="49.5" customHeight="1" thickBot="1" thickTop="1">
      <c r="A33" s="328"/>
      <c r="B33" s="2" t="s">
        <v>69</v>
      </c>
      <c r="C33" s="3">
        <v>6</v>
      </c>
      <c r="D33" s="13"/>
      <c r="E33" s="1" t="s">
        <v>0</v>
      </c>
      <c r="F33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33" s="1" t="s">
        <v>15</v>
      </c>
      <c r="H33" s="13"/>
      <c r="I33" s="13" t="s">
        <v>0</v>
      </c>
      <c r="J33" s="1" t="s">
        <v>0</v>
      </c>
      <c r="K33" s="21">
        <f t="shared" si="1"/>
        <v>0</v>
      </c>
      <c r="P33" s="268" t="s">
        <v>318</v>
      </c>
      <c r="Q33" s="268" t="s">
        <v>319</v>
      </c>
      <c r="R33" s="268" t="s">
        <v>320</v>
      </c>
      <c r="S33" s="268" t="s">
        <v>321</v>
      </c>
      <c r="T33" s="267"/>
      <c r="U33" s="267"/>
      <c r="V33" s="268" t="s">
        <v>322</v>
      </c>
      <c r="W33" s="268" t="s">
        <v>323</v>
      </c>
      <c r="X33" s="268" t="s">
        <v>324</v>
      </c>
      <c r="Y33" s="268" t="s">
        <v>325</v>
      </c>
    </row>
    <row r="34" spans="1:25" ht="49.5" customHeight="1" thickBot="1" thickTop="1">
      <c r="A34" s="6" t="s">
        <v>133</v>
      </c>
      <c r="B34" s="14" t="s">
        <v>134</v>
      </c>
      <c r="C34" s="7">
        <v>7</v>
      </c>
      <c r="D34" s="13"/>
      <c r="E34" s="8" t="s">
        <v>0</v>
      </c>
      <c r="F34" s="8" t="str">
        <f>"§36 ust. 2 "&amp;prawo!B5</f>
        <v>§36 ust. 2 rozporządzenia Ministra Zdrowia z dnia 26 czerwca 2012 r. w sprawie szczegółowych wymagań, jakim powinny odpowiadać pomieszczenia i urządzenia podmiotu wykonującego działalność leczniczą (Dz.U. z 2012 r. poz. 739);</v>
      </c>
      <c r="G34" s="8" t="s">
        <v>15</v>
      </c>
      <c r="H34" s="13"/>
      <c r="I34" s="13" t="s">
        <v>0</v>
      </c>
      <c r="J34" s="8" t="s">
        <v>0</v>
      </c>
      <c r="K34" s="21">
        <f t="shared" si="1"/>
        <v>0</v>
      </c>
      <c r="P34" s="270" t="s">
        <v>318</v>
      </c>
      <c r="Q34" s="270" t="s">
        <v>319</v>
      </c>
      <c r="R34" s="270" t="s">
        <v>320</v>
      </c>
      <c r="S34" s="270" t="s">
        <v>321</v>
      </c>
      <c r="T34" s="269"/>
      <c r="U34" s="269"/>
      <c r="V34" s="270" t="s">
        <v>322</v>
      </c>
      <c r="W34" s="270" t="s">
        <v>323</v>
      </c>
      <c r="X34" s="270" t="s">
        <v>324</v>
      </c>
      <c r="Y34" s="270" t="s">
        <v>325</v>
      </c>
    </row>
    <row r="35" spans="1:11" ht="49.5" customHeight="1" thickTop="1">
      <c r="A35" s="314" t="s">
        <v>135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</row>
    <row r="37" spans="1:11" ht="49.5" customHeight="1">
      <c r="A37" s="316" t="s">
        <v>226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</row>
    <row r="38" spans="1:11" ht="49.5" customHeight="1" thickBot="1">
      <c r="A38" s="320" t="s">
        <v>2</v>
      </c>
      <c r="B38" s="322" t="s">
        <v>3</v>
      </c>
      <c r="C38" s="323"/>
      <c r="D38" s="309" t="s">
        <v>227</v>
      </c>
      <c r="E38" s="309" t="s">
        <v>228</v>
      </c>
      <c r="F38" s="309" t="s">
        <v>6</v>
      </c>
      <c r="G38" s="309" t="s">
        <v>7</v>
      </c>
      <c r="H38" s="309" t="s">
        <v>27</v>
      </c>
      <c r="I38" s="309" t="s">
        <v>9</v>
      </c>
      <c r="J38" s="309" t="s">
        <v>10</v>
      </c>
      <c r="K38" s="310" t="s">
        <v>11</v>
      </c>
    </row>
    <row r="39" spans="1:11" ht="49.5" customHeight="1" thickBot="1" thickTop="1">
      <c r="A39" s="321"/>
      <c r="B39" s="324"/>
      <c r="C39" s="325"/>
      <c r="D39" s="311">
        <v>1</v>
      </c>
      <c r="E39" s="311">
        <v>2</v>
      </c>
      <c r="F39" s="311">
        <v>3</v>
      </c>
      <c r="G39" s="311">
        <v>4</v>
      </c>
      <c r="H39" s="311">
        <v>5</v>
      </c>
      <c r="I39" s="311">
        <v>6</v>
      </c>
      <c r="J39" s="311">
        <v>7</v>
      </c>
      <c r="K39" s="312">
        <v>8</v>
      </c>
    </row>
    <row r="40" spans="1:24" ht="49.5" customHeight="1" thickBot="1" thickTop="1">
      <c r="A40" s="330" t="s">
        <v>229</v>
      </c>
      <c r="B40" s="15" t="s">
        <v>230</v>
      </c>
      <c r="C40" s="4">
        <v>1</v>
      </c>
      <c r="D40" s="13" t="s">
        <v>231</v>
      </c>
      <c r="E40" s="13" t="s">
        <v>0</v>
      </c>
      <c r="F40" s="13" t="str">
        <f>"§3 ust. 1  "&amp;prawo!B6</f>
        <v>§3 ust. 1  rozporządzenia Ministra Zdrowia z dnia 5 października 2017 r. w sprawie szczegółowego sposobu postępowania z odpadami medycznymi (Dz.U. z 2017 r. poz. 1975);</v>
      </c>
      <c r="G40" s="13" t="s">
        <v>15</v>
      </c>
      <c r="H40" s="13"/>
      <c r="I40" s="13" t="s">
        <v>0</v>
      </c>
      <c r="J40" s="13" t="s">
        <v>0</v>
      </c>
      <c r="K40" s="21">
        <f aca="true" t="shared" si="2" ref="K40:K47">IF(I40=P40,V40,IF(I40=Q40,W40,IF(I40=R40,X40,IF(I40=S40,Y40,IF(I40=" "," ",)))))</f>
        <v>0</v>
      </c>
      <c r="P40" s="271" t="s">
        <v>327</v>
      </c>
      <c r="Q40" s="271" t="s">
        <v>328</v>
      </c>
      <c r="R40" s="271" t="s">
        <v>329</v>
      </c>
      <c r="V40" s="271" t="s">
        <v>330</v>
      </c>
      <c r="W40" s="271" t="s">
        <v>331</v>
      </c>
      <c r="X40" s="271" t="s">
        <v>332</v>
      </c>
    </row>
    <row r="41" spans="1:24" ht="49.5" customHeight="1" thickBot="1" thickTop="1">
      <c r="A41" s="329"/>
      <c r="B41" s="2" t="s">
        <v>232</v>
      </c>
      <c r="C41" s="3">
        <v>2</v>
      </c>
      <c r="D41" s="1" t="s">
        <v>231</v>
      </c>
      <c r="E41" s="1" t="s">
        <v>0</v>
      </c>
      <c r="F41" s="1" t="str">
        <f>"§3 ust. 2 "&amp;prawo!B6</f>
        <v>§3 ust. 2 rozporządzenia Ministra Zdrowia z dnia 5 października 2017 r. w sprawie szczegółowego sposobu postępowania z odpadami medycznymi (Dz.U. z 2017 r. poz. 1975);</v>
      </c>
      <c r="G41" s="1" t="s">
        <v>15</v>
      </c>
      <c r="H41" s="13"/>
      <c r="I41" s="13" t="s">
        <v>0</v>
      </c>
      <c r="J41" s="1" t="s">
        <v>0</v>
      </c>
      <c r="K41" s="21">
        <f t="shared" si="2"/>
        <v>0</v>
      </c>
      <c r="P41" s="272" t="s">
        <v>327</v>
      </c>
      <c r="Q41" s="272" t="s">
        <v>328</v>
      </c>
      <c r="R41" s="272" t="s">
        <v>329</v>
      </c>
      <c r="V41" s="272" t="s">
        <v>330</v>
      </c>
      <c r="W41" s="272" t="s">
        <v>331</v>
      </c>
      <c r="X41" s="272" t="s">
        <v>332</v>
      </c>
    </row>
    <row r="42" spans="1:24" ht="49.5" customHeight="1" thickBot="1" thickTop="1">
      <c r="A42" s="329"/>
      <c r="B42" s="2" t="s">
        <v>233</v>
      </c>
      <c r="C42" s="3">
        <v>3</v>
      </c>
      <c r="D42" s="1" t="s">
        <v>231</v>
      </c>
      <c r="E42" s="1" t="s">
        <v>0</v>
      </c>
      <c r="F42" s="1" t="str">
        <f>"§3 ust. 3 "&amp;prawo!B6</f>
        <v>§3 ust. 3 rozporządzenia Ministra Zdrowia z dnia 5 października 2017 r. w sprawie szczegółowego sposobu postępowania z odpadami medycznymi (Dz.U. z 2017 r. poz. 1975);</v>
      </c>
      <c r="G42" s="1" t="s">
        <v>15</v>
      </c>
      <c r="H42" s="13"/>
      <c r="I42" s="13" t="s">
        <v>0</v>
      </c>
      <c r="J42" s="1" t="s">
        <v>0</v>
      </c>
      <c r="K42" s="21">
        <f t="shared" si="2"/>
        <v>0</v>
      </c>
      <c r="P42" s="273" t="s">
        <v>327</v>
      </c>
      <c r="Q42" s="273" t="s">
        <v>328</v>
      </c>
      <c r="R42" s="273" t="s">
        <v>329</v>
      </c>
      <c r="V42" s="273" t="s">
        <v>330</v>
      </c>
      <c r="W42" s="273" t="s">
        <v>331</v>
      </c>
      <c r="X42" s="273" t="s">
        <v>332</v>
      </c>
    </row>
    <row r="43" spans="1:24" ht="49.5" customHeight="1" thickBot="1" thickTop="1">
      <c r="A43" s="329"/>
      <c r="B43" s="2" t="s">
        <v>234</v>
      </c>
      <c r="C43" s="3">
        <v>4</v>
      </c>
      <c r="D43" s="1" t="s">
        <v>231</v>
      </c>
      <c r="E43" s="1" t="s">
        <v>0</v>
      </c>
      <c r="F43" s="1" t="str">
        <f>"§3 ust. 5 "&amp;prawo!B6</f>
        <v>§3 ust. 5 rozporządzenia Ministra Zdrowia z dnia 5 października 2017 r. w sprawie szczegółowego sposobu postępowania z odpadami medycznymi (Dz.U. z 2017 r. poz. 1975);</v>
      </c>
      <c r="G43" s="1" t="s">
        <v>15</v>
      </c>
      <c r="H43" s="13"/>
      <c r="I43" s="13" t="s">
        <v>0</v>
      </c>
      <c r="J43" s="1" t="s">
        <v>0</v>
      </c>
      <c r="K43" s="21">
        <f t="shared" si="2"/>
        <v>0</v>
      </c>
      <c r="P43" s="274" t="s">
        <v>327</v>
      </c>
      <c r="Q43" s="274" t="s">
        <v>328</v>
      </c>
      <c r="R43" s="274" t="s">
        <v>329</v>
      </c>
      <c r="V43" s="274" t="s">
        <v>330</v>
      </c>
      <c r="W43" s="274" t="s">
        <v>331</v>
      </c>
      <c r="X43" s="274" t="s">
        <v>332</v>
      </c>
    </row>
    <row r="44" spans="1:24" ht="49.5" customHeight="1" thickBot="1" thickTop="1">
      <c r="A44" s="329"/>
      <c r="B44" s="2" t="s">
        <v>235</v>
      </c>
      <c r="C44" s="3">
        <v>5</v>
      </c>
      <c r="D44" s="1" t="s">
        <v>231</v>
      </c>
      <c r="E44" s="1" t="s">
        <v>0</v>
      </c>
      <c r="F44" s="1" t="str">
        <f>"§3 ust. 5 "&amp;prawo!B6</f>
        <v>§3 ust. 5 rozporządzenia Ministra Zdrowia z dnia 5 października 2017 r. w sprawie szczegółowego sposobu postępowania z odpadami medycznymi (Dz.U. z 2017 r. poz. 1975);</v>
      </c>
      <c r="G44" s="1" t="s">
        <v>15</v>
      </c>
      <c r="H44" s="13"/>
      <c r="I44" s="13" t="s">
        <v>0</v>
      </c>
      <c r="J44" s="1" t="s">
        <v>0</v>
      </c>
      <c r="K44" s="21">
        <f t="shared" si="2"/>
        <v>0</v>
      </c>
      <c r="P44" s="275" t="s">
        <v>327</v>
      </c>
      <c r="Q44" s="275" t="s">
        <v>328</v>
      </c>
      <c r="R44" s="275" t="s">
        <v>329</v>
      </c>
      <c r="V44" s="275" t="s">
        <v>330</v>
      </c>
      <c r="W44" s="275" t="s">
        <v>331</v>
      </c>
      <c r="X44" s="275" t="s">
        <v>332</v>
      </c>
    </row>
    <row r="45" spans="1:24" ht="49.5" customHeight="1" thickBot="1" thickTop="1">
      <c r="A45" s="329"/>
      <c r="B45" s="2" t="s">
        <v>236</v>
      </c>
      <c r="C45" s="3">
        <v>6</v>
      </c>
      <c r="D45" s="1" t="s">
        <v>231</v>
      </c>
      <c r="E45" s="1" t="s">
        <v>0</v>
      </c>
      <c r="F45" s="1" t="str">
        <f>"§3 ust. 6 "&amp;prawo!B6</f>
        <v>§3 ust. 6 rozporządzenia Ministra Zdrowia z dnia 5 października 2017 r. w sprawie szczegółowego sposobu postępowania z odpadami medycznymi (Dz.U. z 2017 r. poz. 1975);</v>
      </c>
      <c r="G45" s="1" t="s">
        <v>15</v>
      </c>
      <c r="H45" s="13"/>
      <c r="I45" s="13" t="s">
        <v>0</v>
      </c>
      <c r="J45" s="1" t="s">
        <v>0</v>
      </c>
      <c r="K45" s="21">
        <f t="shared" si="2"/>
        <v>0</v>
      </c>
      <c r="P45" s="276" t="s">
        <v>327</v>
      </c>
      <c r="Q45" s="276" t="s">
        <v>328</v>
      </c>
      <c r="R45" s="276" t="s">
        <v>329</v>
      </c>
      <c r="V45" s="276" t="s">
        <v>330</v>
      </c>
      <c r="W45" s="276" t="s">
        <v>331</v>
      </c>
      <c r="X45" s="276" t="s">
        <v>332</v>
      </c>
    </row>
    <row r="46" spans="1:24" ht="49.5" customHeight="1" thickBot="1" thickTop="1">
      <c r="A46" s="329"/>
      <c r="B46" s="2" t="s">
        <v>237</v>
      </c>
      <c r="C46" s="3">
        <v>7</v>
      </c>
      <c r="D46" s="1" t="s">
        <v>231</v>
      </c>
      <c r="E46" s="1" t="s">
        <v>0</v>
      </c>
      <c r="F46" s="1" t="str">
        <f>"§3 ust. 7 "&amp;prawo!B6</f>
        <v>§3 ust. 7 rozporządzenia Ministra Zdrowia z dnia 5 października 2017 r. w sprawie szczegółowego sposobu postępowania z odpadami medycznymi (Dz.U. z 2017 r. poz. 1975);</v>
      </c>
      <c r="G46" s="1" t="s">
        <v>15</v>
      </c>
      <c r="H46" s="13"/>
      <c r="I46" s="13" t="s">
        <v>0</v>
      </c>
      <c r="J46" s="1" t="s">
        <v>0</v>
      </c>
      <c r="K46" s="21">
        <f t="shared" si="2"/>
        <v>0</v>
      </c>
      <c r="P46" s="277" t="s">
        <v>327</v>
      </c>
      <c r="Q46" s="277" t="s">
        <v>328</v>
      </c>
      <c r="R46" s="277" t="s">
        <v>329</v>
      </c>
      <c r="V46" s="277" t="s">
        <v>330</v>
      </c>
      <c r="W46" s="277" t="s">
        <v>331</v>
      </c>
      <c r="X46" s="277" t="s">
        <v>332</v>
      </c>
    </row>
    <row r="47" spans="1:24" ht="49.5" customHeight="1" thickBot="1" thickTop="1">
      <c r="A47" s="331"/>
      <c r="B47" s="14" t="s">
        <v>238</v>
      </c>
      <c r="C47" s="7">
        <v>8</v>
      </c>
      <c r="D47" s="8" t="s">
        <v>231</v>
      </c>
      <c r="E47" s="8" t="s">
        <v>0</v>
      </c>
      <c r="F47" s="8" t="str">
        <f>"§4 "&amp;prawo!B6</f>
        <v>§4 rozporządzenia Ministra Zdrowia z dnia 5 października 2017 r. w sprawie szczegółowego sposobu postępowania z odpadami medycznymi (Dz.U. z 2017 r. poz. 1975);</v>
      </c>
      <c r="G47" s="8" t="s">
        <v>15</v>
      </c>
      <c r="H47" s="13"/>
      <c r="I47" s="13" t="s">
        <v>0</v>
      </c>
      <c r="J47" s="8" t="s">
        <v>0</v>
      </c>
      <c r="K47" s="21">
        <f t="shared" si="2"/>
        <v>0</v>
      </c>
      <c r="P47" s="278" t="s">
        <v>327</v>
      </c>
      <c r="Q47" s="278" t="s">
        <v>328</v>
      </c>
      <c r="R47" s="278" t="s">
        <v>329</v>
      </c>
      <c r="V47" s="278" t="s">
        <v>330</v>
      </c>
      <c r="W47" s="278" t="s">
        <v>331</v>
      </c>
      <c r="X47" s="278" t="s">
        <v>332</v>
      </c>
    </row>
    <row r="48" ht="49.5" customHeight="1" thickTop="1"/>
    <row r="49" spans="1:11" ht="49.5" customHeight="1">
      <c r="A49" s="316" t="s">
        <v>239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</row>
    <row r="50" spans="1:11" ht="49.5" customHeight="1" thickBot="1">
      <c r="A50" s="320" t="s">
        <v>2</v>
      </c>
      <c r="B50" s="322" t="s">
        <v>3</v>
      </c>
      <c r="C50" s="323"/>
      <c r="D50" s="309" t="s">
        <v>227</v>
      </c>
      <c r="E50" s="309" t="s">
        <v>228</v>
      </c>
      <c r="F50" s="309" t="s">
        <v>6</v>
      </c>
      <c r="G50" s="309" t="s">
        <v>7</v>
      </c>
      <c r="H50" s="309" t="s">
        <v>27</v>
      </c>
      <c r="I50" s="309" t="s">
        <v>9</v>
      </c>
      <c r="J50" s="309" t="s">
        <v>10</v>
      </c>
      <c r="K50" s="310" t="s">
        <v>11</v>
      </c>
    </row>
    <row r="51" spans="1:11" ht="49.5" customHeight="1" thickBot="1" thickTop="1">
      <c r="A51" s="321"/>
      <c r="B51" s="324"/>
      <c r="C51" s="325"/>
      <c r="D51" s="311">
        <v>1</v>
      </c>
      <c r="E51" s="311">
        <v>2</v>
      </c>
      <c r="F51" s="311">
        <v>3</v>
      </c>
      <c r="G51" s="311">
        <v>4</v>
      </c>
      <c r="H51" s="311">
        <v>5</v>
      </c>
      <c r="I51" s="311">
        <v>6</v>
      </c>
      <c r="J51" s="311">
        <v>7</v>
      </c>
      <c r="K51" s="312">
        <v>8</v>
      </c>
    </row>
    <row r="52" spans="1:24" ht="49.5" customHeight="1" thickBot="1" thickTop="1">
      <c r="A52" s="11" t="s">
        <v>240</v>
      </c>
      <c r="B52" s="15" t="s">
        <v>241</v>
      </c>
      <c r="C52" s="4">
        <v>1</v>
      </c>
      <c r="D52" s="13" t="s">
        <v>231</v>
      </c>
      <c r="E52" s="13" t="s">
        <v>0</v>
      </c>
      <c r="F52" s="13" t="str">
        <f>"§5 ust 1  "&amp;prawo!B6</f>
        <v>§5 ust 1  rozporządzenia Ministra Zdrowia z dnia 5 października 2017 r. w sprawie szczegółowego sposobu postępowania z odpadami medycznymi (Dz.U. z 2017 r. poz. 1975);</v>
      </c>
      <c r="G52" s="13" t="s">
        <v>242</v>
      </c>
      <c r="H52" s="13"/>
      <c r="I52" s="13" t="s">
        <v>0</v>
      </c>
      <c r="J52" s="13" t="s">
        <v>0</v>
      </c>
      <c r="K52" s="21">
        <f>IF(I52=P52,V52,IF(I52=Q52,W52,IF(I52=R52,X52,IF(I52=S52,Y52,IF(I52=" "," ",)))))</f>
        <v>0</v>
      </c>
      <c r="P52" s="279" t="s">
        <v>327</v>
      </c>
      <c r="Q52" s="279" t="s">
        <v>328</v>
      </c>
      <c r="R52" s="279" t="s">
        <v>329</v>
      </c>
      <c r="V52" s="279" t="s">
        <v>330</v>
      </c>
      <c r="W52" s="279" t="s">
        <v>331</v>
      </c>
      <c r="X52" s="279" t="s">
        <v>332</v>
      </c>
    </row>
    <row r="53" spans="1:24" ht="49.5" customHeight="1" thickBot="1" thickTop="1">
      <c r="A53" s="6" t="s">
        <v>243</v>
      </c>
      <c r="B53" s="14" t="s">
        <v>244</v>
      </c>
      <c r="C53" s="7">
        <v>2</v>
      </c>
      <c r="D53" s="8" t="s">
        <v>231</v>
      </c>
      <c r="E53" s="8" t="s">
        <v>0</v>
      </c>
      <c r="F53" s="8" t="str">
        <f>"§6 ust. 4  "&amp;prawo!B6</f>
        <v>§6 ust. 4  rozporządzenia Ministra Zdrowia z dnia 5 października 2017 r. w sprawie szczegółowego sposobu postępowania z odpadami medycznymi (Dz.U. z 2017 r. poz. 1975);</v>
      </c>
      <c r="G53" s="8" t="s">
        <v>242</v>
      </c>
      <c r="H53" s="13"/>
      <c r="I53" s="13" t="s">
        <v>0</v>
      </c>
      <c r="J53" s="8" t="s">
        <v>0</v>
      </c>
      <c r="K53" s="21">
        <f>IF(I53=P53,V53,IF(I53=Q53,W53,IF(I53=R53,X53,IF(I53=S53,Y53,IF(I53=" "," ",)))))</f>
        <v>0</v>
      </c>
      <c r="P53" s="280" t="s">
        <v>327</v>
      </c>
      <c r="Q53" s="280" t="s">
        <v>328</v>
      </c>
      <c r="R53" s="280" t="s">
        <v>329</v>
      </c>
      <c r="V53" s="280" t="s">
        <v>330</v>
      </c>
      <c r="W53" s="280" t="s">
        <v>331</v>
      </c>
      <c r="X53" s="280" t="s">
        <v>332</v>
      </c>
    </row>
    <row r="54" spans="1:11" ht="49.5" customHeight="1" thickTop="1">
      <c r="A54" s="314" t="s">
        <v>245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</row>
    <row r="56" spans="1:11" ht="49.5" customHeight="1">
      <c r="A56" s="316" t="s">
        <v>246</v>
      </c>
      <c r="B56" s="317"/>
      <c r="C56" s="317"/>
      <c r="D56" s="317"/>
      <c r="E56" s="317"/>
      <c r="F56" s="317"/>
      <c r="G56" s="317"/>
      <c r="H56" s="317"/>
      <c r="I56" s="317"/>
      <c r="J56" s="317"/>
      <c r="K56" s="317"/>
    </row>
    <row r="57" spans="1:11" ht="49.5" customHeight="1" thickBot="1">
      <c r="A57" s="320" t="s">
        <v>2</v>
      </c>
      <c r="B57" s="322" t="s">
        <v>3</v>
      </c>
      <c r="C57" s="323"/>
      <c r="D57" s="309" t="s">
        <v>227</v>
      </c>
      <c r="E57" s="309" t="s">
        <v>228</v>
      </c>
      <c r="F57" s="309" t="s">
        <v>6</v>
      </c>
      <c r="G57" s="309" t="s">
        <v>7</v>
      </c>
      <c r="H57" s="309" t="s">
        <v>27</v>
      </c>
      <c r="I57" s="309" t="s">
        <v>9</v>
      </c>
      <c r="J57" s="309" t="s">
        <v>10</v>
      </c>
      <c r="K57" s="310" t="s">
        <v>11</v>
      </c>
    </row>
    <row r="58" spans="1:11" ht="49.5" customHeight="1" thickBot="1" thickTop="1">
      <c r="A58" s="321"/>
      <c r="B58" s="324"/>
      <c r="C58" s="325"/>
      <c r="D58" s="311">
        <v>1</v>
      </c>
      <c r="E58" s="311">
        <v>2</v>
      </c>
      <c r="F58" s="311">
        <v>3</v>
      </c>
      <c r="G58" s="311">
        <v>4</v>
      </c>
      <c r="H58" s="311">
        <v>5</v>
      </c>
      <c r="I58" s="311">
        <v>6</v>
      </c>
      <c r="J58" s="311">
        <v>7</v>
      </c>
      <c r="K58" s="312">
        <v>8</v>
      </c>
    </row>
    <row r="59" spans="1:24" ht="49.5" customHeight="1" thickBot="1" thickTop="1">
      <c r="A59" s="330" t="s">
        <v>247</v>
      </c>
      <c r="B59" s="15" t="s">
        <v>248</v>
      </c>
      <c r="C59" s="4">
        <v>1</v>
      </c>
      <c r="D59" s="13" t="s">
        <v>231</v>
      </c>
      <c r="E59" s="13" t="s">
        <v>0</v>
      </c>
      <c r="F59" s="13" t="str">
        <f>"§5 ust. 2 pkt 1  "&amp;prawo!B6</f>
        <v>§5 ust. 2 pkt 1  rozporządzenia Ministra Zdrowia z dnia 5 października 2017 r. w sprawie szczegółowego sposobu postępowania z odpadami medycznymi (Dz.U. z 2017 r. poz. 1975);</v>
      </c>
      <c r="G59" s="13" t="s">
        <v>242</v>
      </c>
      <c r="H59" s="13"/>
      <c r="I59" s="13" t="s">
        <v>0</v>
      </c>
      <c r="J59" s="13" t="s">
        <v>0</v>
      </c>
      <c r="K59" s="21">
        <f aca="true" t="shared" si="3" ref="K59:K66">IF(I59=P59,V59,IF(I59=Q59,W59,IF(I59=R59,X59,IF(I59=S59,Y59,IF(I59=" "," ",)))))</f>
        <v>0</v>
      </c>
      <c r="P59" s="281" t="s">
        <v>327</v>
      </c>
      <c r="Q59" s="281" t="s">
        <v>328</v>
      </c>
      <c r="R59" s="281" t="s">
        <v>329</v>
      </c>
      <c r="V59" s="281" t="s">
        <v>330</v>
      </c>
      <c r="W59" s="281" t="s">
        <v>331</v>
      </c>
      <c r="X59" s="281" t="s">
        <v>332</v>
      </c>
    </row>
    <row r="60" spans="1:24" ht="49.5" customHeight="1" thickBot="1" thickTop="1">
      <c r="A60" s="329"/>
      <c r="B60" s="2" t="s">
        <v>249</v>
      </c>
      <c r="C60" s="3">
        <v>2</v>
      </c>
      <c r="D60" s="1" t="s">
        <v>231</v>
      </c>
      <c r="E60" s="1" t="s">
        <v>0</v>
      </c>
      <c r="F60" s="1" t="str">
        <f>"§5 ust. 2 pkt 2  "&amp;prawo!B6</f>
        <v>§5 ust. 2 pkt 2  rozporządzenia Ministra Zdrowia z dnia 5 października 2017 r. w sprawie szczegółowego sposobu postępowania z odpadami medycznymi (Dz.U. z 2017 r. poz. 1975);</v>
      </c>
      <c r="G60" s="1" t="s">
        <v>242</v>
      </c>
      <c r="H60" s="13"/>
      <c r="I60" s="13" t="s">
        <v>0</v>
      </c>
      <c r="J60" s="1" t="s">
        <v>0</v>
      </c>
      <c r="K60" s="21">
        <f t="shared" si="3"/>
        <v>0</v>
      </c>
      <c r="P60" s="282" t="s">
        <v>327</v>
      </c>
      <c r="Q60" s="282" t="s">
        <v>328</v>
      </c>
      <c r="R60" s="282" t="s">
        <v>329</v>
      </c>
      <c r="V60" s="282" t="s">
        <v>330</v>
      </c>
      <c r="W60" s="282" t="s">
        <v>331</v>
      </c>
      <c r="X60" s="282" t="s">
        <v>332</v>
      </c>
    </row>
    <row r="61" spans="1:24" ht="49.5" customHeight="1" thickBot="1" thickTop="1">
      <c r="A61" s="329"/>
      <c r="B61" s="2" t="s">
        <v>250</v>
      </c>
      <c r="C61" s="3">
        <v>3</v>
      </c>
      <c r="D61" s="1" t="s">
        <v>231</v>
      </c>
      <c r="E61" s="1" t="s">
        <v>0</v>
      </c>
      <c r="F61" s="1" t="str">
        <f>"§5 ust. 2 pkt 3  "&amp;prawo!B6</f>
        <v>§5 ust. 2 pkt 3  rozporządzenia Ministra Zdrowia z dnia 5 października 2017 r. w sprawie szczegółowego sposobu postępowania z odpadami medycznymi (Dz.U. z 2017 r. poz. 1975);</v>
      </c>
      <c r="G61" s="1" t="s">
        <v>242</v>
      </c>
      <c r="H61" s="13"/>
      <c r="I61" s="13" t="s">
        <v>0</v>
      </c>
      <c r="J61" s="1" t="s">
        <v>0</v>
      </c>
      <c r="K61" s="21">
        <f t="shared" si="3"/>
        <v>0</v>
      </c>
      <c r="P61" s="283" t="s">
        <v>327</v>
      </c>
      <c r="Q61" s="283" t="s">
        <v>328</v>
      </c>
      <c r="R61" s="283" t="s">
        <v>329</v>
      </c>
      <c r="V61" s="283" t="s">
        <v>330</v>
      </c>
      <c r="W61" s="283" t="s">
        <v>331</v>
      </c>
      <c r="X61" s="283" t="s">
        <v>332</v>
      </c>
    </row>
    <row r="62" spans="1:24" ht="49.5" customHeight="1" thickBot="1" thickTop="1">
      <c r="A62" s="329"/>
      <c r="B62" s="2" t="s">
        <v>251</v>
      </c>
      <c r="C62" s="3">
        <v>4</v>
      </c>
      <c r="D62" s="1" t="s">
        <v>231</v>
      </c>
      <c r="E62" s="1" t="s">
        <v>0</v>
      </c>
      <c r="F62" s="1" t="str">
        <f>"§5 ust. 2 pkt 4  "&amp;prawo!B6</f>
        <v>§5 ust. 2 pkt 4  rozporządzenia Ministra Zdrowia z dnia 5 października 2017 r. w sprawie szczegółowego sposobu postępowania z odpadami medycznymi (Dz.U. z 2017 r. poz. 1975);</v>
      </c>
      <c r="G62" s="1" t="s">
        <v>242</v>
      </c>
      <c r="H62" s="13"/>
      <c r="I62" s="13" t="s">
        <v>0</v>
      </c>
      <c r="J62" s="1" t="s">
        <v>0</v>
      </c>
      <c r="K62" s="21">
        <f t="shared" si="3"/>
        <v>0</v>
      </c>
      <c r="P62" s="284" t="s">
        <v>327</v>
      </c>
      <c r="Q62" s="284" t="s">
        <v>328</v>
      </c>
      <c r="R62" s="284" t="s">
        <v>329</v>
      </c>
      <c r="V62" s="284" t="s">
        <v>330</v>
      </c>
      <c r="W62" s="284" t="s">
        <v>331</v>
      </c>
      <c r="X62" s="284" t="s">
        <v>332</v>
      </c>
    </row>
    <row r="63" spans="1:24" ht="49.5" customHeight="1" thickBot="1" thickTop="1">
      <c r="A63" s="329"/>
      <c r="B63" s="2" t="s">
        <v>252</v>
      </c>
      <c r="C63" s="3">
        <v>5</v>
      </c>
      <c r="D63" s="1" t="s">
        <v>231</v>
      </c>
      <c r="E63" s="1" t="s">
        <v>0</v>
      </c>
      <c r="F63" s="1" t="str">
        <f>"§5 ust. 2 pkt 5  "&amp;prawo!B6</f>
        <v>§5 ust. 2 pkt 5  rozporządzenia Ministra Zdrowia z dnia 5 października 2017 r. w sprawie szczegółowego sposobu postępowania z odpadami medycznymi (Dz.U. z 2017 r. poz. 1975);</v>
      </c>
      <c r="G63" s="1" t="s">
        <v>242</v>
      </c>
      <c r="H63" s="13"/>
      <c r="I63" s="13" t="s">
        <v>0</v>
      </c>
      <c r="J63" s="1" t="s">
        <v>0</v>
      </c>
      <c r="K63" s="21">
        <f t="shared" si="3"/>
        <v>0</v>
      </c>
      <c r="P63" s="285" t="s">
        <v>327</v>
      </c>
      <c r="Q63" s="285" t="s">
        <v>328</v>
      </c>
      <c r="R63" s="285" t="s">
        <v>329</v>
      </c>
      <c r="V63" s="285" t="s">
        <v>330</v>
      </c>
      <c r="W63" s="285" t="s">
        <v>331</v>
      </c>
      <c r="X63" s="285" t="s">
        <v>332</v>
      </c>
    </row>
    <row r="64" spans="1:24" ht="49.5" customHeight="1" thickBot="1" thickTop="1">
      <c r="A64" s="329"/>
      <c r="B64" s="2" t="s">
        <v>253</v>
      </c>
      <c r="C64" s="3">
        <v>6</v>
      </c>
      <c r="D64" s="1" t="s">
        <v>231</v>
      </c>
      <c r="E64" s="1" t="s">
        <v>0</v>
      </c>
      <c r="F64" s="1" t="str">
        <f>"§5 ust. 2 pkt 6  "&amp;prawo!B6</f>
        <v>§5 ust. 2 pkt 6  rozporządzenia Ministra Zdrowia z dnia 5 października 2017 r. w sprawie szczegółowego sposobu postępowania z odpadami medycznymi (Dz.U. z 2017 r. poz. 1975);</v>
      </c>
      <c r="G64" s="1" t="s">
        <v>242</v>
      </c>
      <c r="H64" s="13"/>
      <c r="I64" s="13" t="s">
        <v>0</v>
      </c>
      <c r="J64" s="1" t="s">
        <v>0</v>
      </c>
      <c r="K64" s="21">
        <f t="shared" si="3"/>
        <v>0</v>
      </c>
      <c r="P64" s="286" t="s">
        <v>327</v>
      </c>
      <c r="Q64" s="286" t="s">
        <v>328</v>
      </c>
      <c r="R64" s="286" t="s">
        <v>329</v>
      </c>
      <c r="V64" s="286" t="s">
        <v>330</v>
      </c>
      <c r="W64" s="286" t="s">
        <v>331</v>
      </c>
      <c r="X64" s="286" t="s">
        <v>332</v>
      </c>
    </row>
    <row r="65" spans="1:24" ht="49.5" customHeight="1" thickBot="1" thickTop="1">
      <c r="A65" s="329"/>
      <c r="B65" s="2" t="s">
        <v>254</v>
      </c>
      <c r="C65" s="3">
        <v>7</v>
      </c>
      <c r="D65" s="1" t="s">
        <v>231</v>
      </c>
      <c r="E65" s="1" t="s">
        <v>0</v>
      </c>
      <c r="F65" s="1" t="str">
        <f>"§5 ust. 2 pkt 7  "&amp;prawo!B6</f>
        <v>§5 ust. 2 pkt 7  rozporządzenia Ministra Zdrowia z dnia 5 października 2017 r. w sprawie szczegółowego sposobu postępowania z odpadami medycznymi (Dz.U. z 2017 r. poz. 1975);</v>
      </c>
      <c r="G65" s="1" t="s">
        <v>242</v>
      </c>
      <c r="H65" s="13"/>
      <c r="I65" s="13" t="s">
        <v>0</v>
      </c>
      <c r="J65" s="1" t="s">
        <v>0</v>
      </c>
      <c r="K65" s="21">
        <f t="shared" si="3"/>
        <v>0</v>
      </c>
      <c r="P65" s="287" t="s">
        <v>327</v>
      </c>
      <c r="Q65" s="287" t="s">
        <v>328</v>
      </c>
      <c r="R65" s="287" t="s">
        <v>329</v>
      </c>
      <c r="V65" s="287" t="s">
        <v>330</v>
      </c>
      <c r="W65" s="287" t="s">
        <v>331</v>
      </c>
      <c r="X65" s="287" t="s">
        <v>332</v>
      </c>
    </row>
    <row r="66" spans="1:24" ht="49.5" customHeight="1" thickBot="1" thickTop="1">
      <c r="A66" s="331"/>
      <c r="B66" s="14" t="s">
        <v>255</v>
      </c>
      <c r="C66" s="7">
        <v>8</v>
      </c>
      <c r="D66" s="8" t="s">
        <v>231</v>
      </c>
      <c r="E66" s="8" t="s">
        <v>0</v>
      </c>
      <c r="F66" s="8" t="str">
        <f>"§5 ust. 5  "&amp;prawo!B6</f>
        <v>§5 ust. 5  rozporządzenia Ministra Zdrowia z dnia 5 października 2017 r. w sprawie szczegółowego sposobu postępowania z odpadami medycznymi (Dz.U. z 2017 r. poz. 1975);</v>
      </c>
      <c r="G66" s="8" t="s">
        <v>242</v>
      </c>
      <c r="H66" s="13"/>
      <c r="I66" s="13" t="s">
        <v>0</v>
      </c>
      <c r="J66" s="8" t="s">
        <v>0</v>
      </c>
      <c r="K66" s="21">
        <f t="shared" si="3"/>
        <v>0</v>
      </c>
      <c r="P66" s="288" t="s">
        <v>327</v>
      </c>
      <c r="Q66" s="288" t="s">
        <v>328</v>
      </c>
      <c r="R66" s="288" t="s">
        <v>329</v>
      </c>
      <c r="V66" s="288" t="s">
        <v>330</v>
      </c>
      <c r="W66" s="288" t="s">
        <v>331</v>
      </c>
      <c r="X66" s="288" t="s">
        <v>332</v>
      </c>
    </row>
    <row r="67" spans="1:11" ht="49.5" customHeight="1" thickTop="1">
      <c r="A67" s="314" t="s">
        <v>256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</row>
    <row r="69" spans="1:11" ht="49.5" customHeight="1">
      <c r="A69" s="316" t="s">
        <v>257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</row>
    <row r="70" spans="1:11" ht="49.5" customHeight="1" thickBot="1">
      <c r="A70" s="320" t="s">
        <v>2</v>
      </c>
      <c r="B70" s="322" t="s">
        <v>3</v>
      </c>
      <c r="C70" s="323"/>
      <c r="D70" s="309" t="s">
        <v>227</v>
      </c>
      <c r="E70" s="309" t="s">
        <v>228</v>
      </c>
      <c r="F70" s="309" t="s">
        <v>6</v>
      </c>
      <c r="G70" s="309" t="s">
        <v>7</v>
      </c>
      <c r="H70" s="309" t="s">
        <v>27</v>
      </c>
      <c r="I70" s="309" t="s">
        <v>9</v>
      </c>
      <c r="J70" s="309" t="s">
        <v>10</v>
      </c>
      <c r="K70" s="310" t="s">
        <v>11</v>
      </c>
    </row>
    <row r="71" spans="1:11" ht="49.5" customHeight="1" thickBot="1" thickTop="1">
      <c r="A71" s="321"/>
      <c r="B71" s="324"/>
      <c r="C71" s="325"/>
      <c r="D71" s="311">
        <v>1</v>
      </c>
      <c r="E71" s="311">
        <v>2</v>
      </c>
      <c r="F71" s="311">
        <v>3</v>
      </c>
      <c r="G71" s="311">
        <v>4</v>
      </c>
      <c r="H71" s="311">
        <v>5</v>
      </c>
      <c r="I71" s="311">
        <v>6</v>
      </c>
      <c r="J71" s="311">
        <v>7</v>
      </c>
      <c r="K71" s="312">
        <v>8</v>
      </c>
    </row>
    <row r="72" spans="1:24" ht="49.5" customHeight="1" thickBot="1" thickTop="1">
      <c r="A72" s="330" t="s">
        <v>258</v>
      </c>
      <c r="B72" s="15" t="s">
        <v>259</v>
      </c>
      <c r="C72" s="4">
        <v>1</v>
      </c>
      <c r="D72" s="13" t="s">
        <v>231</v>
      </c>
      <c r="E72" s="13" t="s">
        <v>0</v>
      </c>
      <c r="F72" s="13" t="str">
        <f>"§5 ust. 3 pkt 1  "&amp;prawo!B6</f>
        <v>§5 ust. 3 pkt 1  rozporządzenia Ministra Zdrowia z dnia 5 października 2017 r. w sprawie szczegółowego sposobu postępowania z odpadami medycznymi (Dz.U. z 2017 r. poz. 1975);</v>
      </c>
      <c r="G72" s="13" t="s">
        <v>242</v>
      </c>
      <c r="H72" s="13"/>
      <c r="I72" s="13" t="s">
        <v>0</v>
      </c>
      <c r="J72" s="13" t="s">
        <v>0</v>
      </c>
      <c r="K72" s="21">
        <f aca="true" t="shared" si="4" ref="K72:K81">IF(I72=P72,V72,IF(I72=Q72,W72,IF(I72=R72,X72,IF(I72=S72,Y72,IF(I72=" "," ",)))))</f>
        <v>0</v>
      </c>
      <c r="P72" s="289" t="s">
        <v>327</v>
      </c>
      <c r="Q72" s="289" t="s">
        <v>328</v>
      </c>
      <c r="R72" s="289" t="s">
        <v>329</v>
      </c>
      <c r="V72" s="289" t="s">
        <v>330</v>
      </c>
      <c r="W72" s="289" t="s">
        <v>331</v>
      </c>
      <c r="X72" s="289" t="s">
        <v>332</v>
      </c>
    </row>
    <row r="73" spans="1:24" ht="49.5" customHeight="1" thickBot="1" thickTop="1">
      <c r="A73" s="329"/>
      <c r="B73" s="2" t="s">
        <v>260</v>
      </c>
      <c r="C73" s="3">
        <v>2</v>
      </c>
      <c r="D73" s="1" t="s">
        <v>231</v>
      </c>
      <c r="E73" s="1" t="s">
        <v>0</v>
      </c>
      <c r="F73" s="1" t="str">
        <f>"§5 ust. 3 pkt 2  "&amp;prawo!B6</f>
        <v>§5 ust. 3 pkt 2  rozporządzenia Ministra Zdrowia z dnia 5 października 2017 r. w sprawie szczegółowego sposobu postępowania z odpadami medycznymi (Dz.U. z 2017 r. poz. 1975);</v>
      </c>
      <c r="G73" s="1" t="s">
        <v>242</v>
      </c>
      <c r="H73" s="13"/>
      <c r="I73" s="13"/>
      <c r="J73" s="1" t="s">
        <v>0</v>
      </c>
      <c r="K73" s="21">
        <f t="shared" si="4"/>
        <v>0</v>
      </c>
      <c r="P73" s="290" t="s">
        <v>327</v>
      </c>
      <c r="Q73" s="290" t="s">
        <v>328</v>
      </c>
      <c r="R73" s="290" t="s">
        <v>329</v>
      </c>
      <c r="V73" s="290" t="s">
        <v>330</v>
      </c>
      <c r="W73" s="290" t="s">
        <v>331</v>
      </c>
      <c r="X73" s="290" t="s">
        <v>332</v>
      </c>
    </row>
    <row r="74" spans="1:24" ht="49.5" customHeight="1" thickBot="1" thickTop="1">
      <c r="A74" s="329"/>
      <c r="B74" s="2" t="s">
        <v>261</v>
      </c>
      <c r="C74" s="3">
        <v>3</v>
      </c>
      <c r="D74" s="1" t="s">
        <v>231</v>
      </c>
      <c r="E74" s="1" t="s">
        <v>0</v>
      </c>
      <c r="F74" s="1" t="str">
        <f>"§5 ust. 3 pkt 3  "&amp;prawo!B6</f>
        <v>§5 ust. 3 pkt 3  rozporządzenia Ministra Zdrowia z dnia 5 października 2017 r. w sprawie szczegółowego sposobu postępowania z odpadami medycznymi (Dz.U. z 2017 r. poz. 1975);</v>
      </c>
      <c r="G74" s="1" t="s">
        <v>242</v>
      </c>
      <c r="H74" s="13"/>
      <c r="I74" s="13" t="s">
        <v>0</v>
      </c>
      <c r="J74" s="1" t="s">
        <v>0</v>
      </c>
      <c r="K74" s="21">
        <f t="shared" si="4"/>
        <v>0</v>
      </c>
      <c r="P74" s="291" t="s">
        <v>327</v>
      </c>
      <c r="Q74" s="291" t="s">
        <v>328</v>
      </c>
      <c r="R74" s="291" t="s">
        <v>329</v>
      </c>
      <c r="V74" s="291" t="s">
        <v>330</v>
      </c>
      <c r="W74" s="291" t="s">
        <v>331</v>
      </c>
      <c r="X74" s="291" t="s">
        <v>332</v>
      </c>
    </row>
    <row r="75" spans="1:24" ht="49.5" customHeight="1" thickBot="1" thickTop="1">
      <c r="A75" s="329"/>
      <c r="B75" s="2" t="s">
        <v>262</v>
      </c>
      <c r="C75" s="3">
        <v>4</v>
      </c>
      <c r="D75" s="1" t="s">
        <v>231</v>
      </c>
      <c r="E75" s="1" t="s">
        <v>0</v>
      </c>
      <c r="F75" s="1" t="str">
        <f>"§5 ust. 3 pkt 4  "&amp;prawo!B6</f>
        <v>§5 ust. 3 pkt 4  rozporządzenia Ministra Zdrowia z dnia 5 października 2017 r. w sprawie szczegółowego sposobu postępowania z odpadami medycznymi (Dz.U. z 2017 r. poz. 1975);</v>
      </c>
      <c r="G75" s="1" t="s">
        <v>242</v>
      </c>
      <c r="H75" s="13"/>
      <c r="I75" s="13" t="s">
        <v>0</v>
      </c>
      <c r="J75" s="1" t="s">
        <v>0</v>
      </c>
      <c r="K75" s="21">
        <f t="shared" si="4"/>
        <v>0</v>
      </c>
      <c r="P75" s="292" t="s">
        <v>327</v>
      </c>
      <c r="Q75" s="292" t="s">
        <v>328</v>
      </c>
      <c r="R75" s="292" t="s">
        <v>329</v>
      </c>
      <c r="V75" s="292" t="s">
        <v>330</v>
      </c>
      <c r="W75" s="292" t="s">
        <v>331</v>
      </c>
      <c r="X75" s="292" t="s">
        <v>332</v>
      </c>
    </row>
    <row r="76" spans="1:24" ht="49.5" customHeight="1" thickBot="1" thickTop="1">
      <c r="A76" s="329"/>
      <c r="B76" s="2" t="s">
        <v>263</v>
      </c>
      <c r="C76" s="3">
        <v>5</v>
      </c>
      <c r="D76" s="1" t="s">
        <v>231</v>
      </c>
      <c r="E76" s="1" t="s">
        <v>0</v>
      </c>
      <c r="F76" s="1" t="str">
        <f>"§5 ust. 3 pkt 5  "&amp;prawo!B6</f>
        <v>§5 ust. 3 pkt 5  rozporządzenia Ministra Zdrowia z dnia 5 października 2017 r. w sprawie szczegółowego sposobu postępowania z odpadami medycznymi (Dz.U. z 2017 r. poz. 1975);</v>
      </c>
      <c r="G76" s="1" t="s">
        <v>242</v>
      </c>
      <c r="H76" s="13"/>
      <c r="I76" s="13" t="s">
        <v>0</v>
      </c>
      <c r="J76" s="1" t="s">
        <v>0</v>
      </c>
      <c r="K76" s="21">
        <f t="shared" si="4"/>
        <v>0</v>
      </c>
      <c r="P76" s="293" t="s">
        <v>327</v>
      </c>
      <c r="Q76" s="293" t="s">
        <v>328</v>
      </c>
      <c r="R76" s="293" t="s">
        <v>329</v>
      </c>
      <c r="V76" s="293" t="s">
        <v>330</v>
      </c>
      <c r="W76" s="293" t="s">
        <v>331</v>
      </c>
      <c r="X76" s="293" t="s">
        <v>332</v>
      </c>
    </row>
    <row r="77" spans="1:24" ht="49.5" customHeight="1" thickBot="1" thickTop="1">
      <c r="A77" s="329"/>
      <c r="B77" s="2" t="s">
        <v>264</v>
      </c>
      <c r="C77" s="3">
        <v>6</v>
      </c>
      <c r="D77" s="1" t="s">
        <v>231</v>
      </c>
      <c r="E77" s="1" t="s">
        <v>0</v>
      </c>
      <c r="F77" s="1" t="str">
        <f>"§5 ust. 3 pkt 6  "&amp;prawo!B6</f>
        <v>§5 ust. 3 pkt 6  rozporządzenia Ministra Zdrowia z dnia 5 października 2017 r. w sprawie szczegółowego sposobu postępowania z odpadami medycznymi (Dz.U. z 2017 r. poz. 1975);</v>
      </c>
      <c r="G77" s="1" t="s">
        <v>242</v>
      </c>
      <c r="H77" s="13"/>
      <c r="I77" s="13" t="s">
        <v>0</v>
      </c>
      <c r="J77" s="1" t="s">
        <v>0</v>
      </c>
      <c r="K77" s="21">
        <f t="shared" si="4"/>
        <v>0</v>
      </c>
      <c r="P77" s="294" t="s">
        <v>327</v>
      </c>
      <c r="Q77" s="294" t="s">
        <v>328</v>
      </c>
      <c r="R77" s="294" t="s">
        <v>329</v>
      </c>
      <c r="V77" s="294" t="s">
        <v>330</v>
      </c>
      <c r="W77" s="294" t="s">
        <v>331</v>
      </c>
      <c r="X77" s="294" t="s">
        <v>332</v>
      </c>
    </row>
    <row r="78" spans="1:24" ht="49.5" customHeight="1" thickBot="1" thickTop="1">
      <c r="A78" s="329"/>
      <c r="B78" s="2" t="s">
        <v>265</v>
      </c>
      <c r="C78" s="3">
        <v>7</v>
      </c>
      <c r="D78" s="1" t="s">
        <v>231</v>
      </c>
      <c r="E78" s="1" t="s">
        <v>0</v>
      </c>
      <c r="F78" s="1" t="str">
        <f>"§5 ust. 3 pkt 7  "&amp;prawo!B6</f>
        <v>§5 ust. 3 pkt 7  rozporządzenia Ministra Zdrowia z dnia 5 października 2017 r. w sprawie szczegółowego sposobu postępowania z odpadami medycznymi (Dz.U. z 2017 r. poz. 1975);</v>
      </c>
      <c r="G78" s="1" t="s">
        <v>242</v>
      </c>
      <c r="H78" s="13"/>
      <c r="I78" s="13" t="s">
        <v>0</v>
      </c>
      <c r="J78" s="1" t="s">
        <v>0</v>
      </c>
      <c r="K78" s="21">
        <f t="shared" si="4"/>
        <v>0</v>
      </c>
      <c r="P78" s="295" t="s">
        <v>327</v>
      </c>
      <c r="Q78" s="295" t="s">
        <v>328</v>
      </c>
      <c r="R78" s="295" t="s">
        <v>329</v>
      </c>
      <c r="V78" s="295" t="s">
        <v>330</v>
      </c>
      <c r="W78" s="295" t="s">
        <v>331</v>
      </c>
      <c r="X78" s="295" t="s">
        <v>332</v>
      </c>
    </row>
    <row r="79" spans="1:24" ht="49.5" customHeight="1" thickBot="1" thickTop="1">
      <c r="A79" s="328"/>
      <c r="B79" s="2" t="s">
        <v>255</v>
      </c>
      <c r="C79" s="3">
        <v>8</v>
      </c>
      <c r="D79" s="1" t="s">
        <v>231</v>
      </c>
      <c r="E79" s="1" t="s">
        <v>0</v>
      </c>
      <c r="F79" s="1" t="str">
        <f>"§5 ust. 5  "&amp;prawo!B6</f>
        <v>§5 ust. 5  rozporządzenia Ministra Zdrowia z dnia 5 października 2017 r. w sprawie szczegółowego sposobu postępowania z odpadami medycznymi (Dz.U. z 2017 r. poz. 1975);</v>
      </c>
      <c r="G79" s="1" t="s">
        <v>242</v>
      </c>
      <c r="H79" s="13"/>
      <c r="I79" s="13" t="s">
        <v>0</v>
      </c>
      <c r="J79" s="1" t="s">
        <v>0</v>
      </c>
      <c r="K79" s="21">
        <f t="shared" si="4"/>
        <v>0</v>
      </c>
      <c r="P79" s="296" t="s">
        <v>327</v>
      </c>
      <c r="Q79" s="296" t="s">
        <v>328</v>
      </c>
      <c r="R79" s="296" t="s">
        <v>329</v>
      </c>
      <c r="V79" s="296" t="s">
        <v>330</v>
      </c>
      <c r="W79" s="296" t="s">
        <v>331</v>
      </c>
      <c r="X79" s="296" t="s">
        <v>332</v>
      </c>
    </row>
    <row r="80" spans="1:24" ht="49.5" customHeight="1" thickBot="1" thickTop="1">
      <c r="A80" s="327" t="s">
        <v>266</v>
      </c>
      <c r="B80" s="2" t="s">
        <v>267</v>
      </c>
      <c r="C80" s="3">
        <v>9</v>
      </c>
      <c r="D80" s="1" t="s">
        <v>231</v>
      </c>
      <c r="E80" s="1" t="s">
        <v>0</v>
      </c>
      <c r="F80" s="1" t="str">
        <f>"§5 ust. 4 pkt 1  "&amp;prawo!B6</f>
        <v>§5 ust. 4 pkt 1  rozporządzenia Ministra Zdrowia z dnia 5 października 2017 r. w sprawie szczegółowego sposobu postępowania z odpadami medycznymi (Dz.U. z 2017 r. poz. 1975);</v>
      </c>
      <c r="G80" s="1" t="s">
        <v>242</v>
      </c>
      <c r="H80" s="13"/>
      <c r="I80" s="13" t="s">
        <v>0</v>
      </c>
      <c r="J80" s="1" t="s">
        <v>0</v>
      </c>
      <c r="K80" s="21">
        <f t="shared" si="4"/>
        <v>0</v>
      </c>
      <c r="P80" s="297" t="s">
        <v>327</v>
      </c>
      <c r="Q80" s="297" t="s">
        <v>328</v>
      </c>
      <c r="R80" s="297" t="s">
        <v>329</v>
      </c>
      <c r="V80" s="297" t="s">
        <v>330</v>
      </c>
      <c r="W80" s="297" t="s">
        <v>331</v>
      </c>
      <c r="X80" s="297" t="s">
        <v>332</v>
      </c>
    </row>
    <row r="81" spans="1:24" ht="49.5" customHeight="1" thickBot="1" thickTop="1">
      <c r="A81" s="331"/>
      <c r="B81" s="14" t="s">
        <v>259</v>
      </c>
      <c r="C81" s="7">
        <v>10</v>
      </c>
      <c r="D81" s="8" t="s">
        <v>231</v>
      </c>
      <c r="E81" s="8" t="s">
        <v>0</v>
      </c>
      <c r="F81" s="8" t="str">
        <f>"§5 ust. 4 pkt 3  "&amp;prawo!B6</f>
        <v>§5 ust. 4 pkt 3  rozporządzenia Ministra Zdrowia z dnia 5 października 2017 r. w sprawie szczegółowego sposobu postępowania z odpadami medycznymi (Dz.U. z 2017 r. poz. 1975);</v>
      </c>
      <c r="G81" s="8" t="s">
        <v>242</v>
      </c>
      <c r="H81" s="13"/>
      <c r="I81" s="13" t="s">
        <v>0</v>
      </c>
      <c r="J81" s="8" t="s">
        <v>0</v>
      </c>
      <c r="K81" s="21">
        <f t="shared" si="4"/>
        <v>0</v>
      </c>
      <c r="P81" s="298" t="s">
        <v>327</v>
      </c>
      <c r="Q81" s="298" t="s">
        <v>328</v>
      </c>
      <c r="R81" s="298" t="s">
        <v>329</v>
      </c>
      <c r="V81" s="298" t="s">
        <v>330</v>
      </c>
      <c r="W81" s="298" t="s">
        <v>331</v>
      </c>
      <c r="X81" s="298" t="s">
        <v>332</v>
      </c>
    </row>
    <row r="82" spans="1:11" ht="49.5" customHeight="1" thickTop="1">
      <c r="A82" s="314" t="s">
        <v>256</v>
      </c>
      <c r="B82" s="315"/>
      <c r="C82" s="315"/>
      <c r="D82" s="315"/>
      <c r="E82" s="315"/>
      <c r="F82" s="315"/>
      <c r="G82" s="315"/>
      <c r="H82" s="315"/>
      <c r="I82" s="315"/>
      <c r="J82" s="315"/>
      <c r="K82" s="315"/>
    </row>
    <row r="84" spans="1:11" ht="49.5" customHeight="1">
      <c r="A84" s="316" t="s">
        <v>268</v>
      </c>
      <c r="B84" s="317"/>
      <c r="C84" s="317"/>
      <c r="D84" s="317"/>
      <c r="E84" s="317"/>
      <c r="F84" s="317"/>
      <c r="G84" s="317"/>
      <c r="H84" s="317"/>
      <c r="I84" s="317"/>
      <c r="J84" s="317"/>
      <c r="K84" s="317"/>
    </row>
    <row r="85" spans="1:11" ht="49.5" customHeight="1" thickBot="1">
      <c r="A85" s="320" t="s">
        <v>2</v>
      </c>
      <c r="B85" s="322" t="s">
        <v>3</v>
      </c>
      <c r="C85" s="323"/>
      <c r="D85" s="309" t="s">
        <v>4</v>
      </c>
      <c r="E85" s="309" t="s">
        <v>5</v>
      </c>
      <c r="F85" s="309" t="s">
        <v>6</v>
      </c>
      <c r="G85" s="309" t="s">
        <v>7</v>
      </c>
      <c r="H85" s="309" t="s">
        <v>27</v>
      </c>
      <c r="I85" s="309" t="s">
        <v>9</v>
      </c>
      <c r="J85" s="309" t="s">
        <v>10</v>
      </c>
      <c r="K85" s="310" t="s">
        <v>11</v>
      </c>
    </row>
    <row r="86" spans="1:11" ht="49.5" customHeight="1" thickBot="1" thickTop="1">
      <c r="A86" s="321"/>
      <c r="B86" s="324"/>
      <c r="C86" s="325"/>
      <c r="D86" s="311">
        <v>1</v>
      </c>
      <c r="E86" s="311">
        <v>2</v>
      </c>
      <c r="F86" s="311">
        <v>3</v>
      </c>
      <c r="G86" s="311">
        <v>4</v>
      </c>
      <c r="H86" s="311">
        <v>5</v>
      </c>
      <c r="I86" s="311">
        <v>6</v>
      </c>
      <c r="J86" s="311">
        <v>7</v>
      </c>
      <c r="K86" s="312">
        <v>8</v>
      </c>
    </row>
    <row r="87" spans="1:25" ht="49.5" customHeight="1" thickBot="1" thickTop="1">
      <c r="A87" s="330" t="s">
        <v>269</v>
      </c>
      <c r="B87" s="15" t="s">
        <v>270</v>
      </c>
      <c r="C87" s="4">
        <v>1</v>
      </c>
      <c r="D87" s="13"/>
      <c r="E87" s="13" t="s">
        <v>0</v>
      </c>
      <c r="F87" s="13" t="str">
        <f>"§25 ust. 1 pkt 1 "&amp;prawo!B5</f>
        <v>§25 ust. 1 pkt 1 rozporządzenia Ministra Zdrowia z dnia 26 czerwca 2012 r. w sprawie szczegółowych wymagań, jakim powinny odpowiadać pomieszczenia i urządzenia podmiotu wykonującego działalność leczniczą (Dz.U. z 2012 r. poz. 739);</v>
      </c>
      <c r="G87" s="13" t="s">
        <v>15</v>
      </c>
      <c r="H87" s="13"/>
      <c r="I87" s="13" t="s">
        <v>0</v>
      </c>
      <c r="J87" s="13" t="s">
        <v>0</v>
      </c>
      <c r="K87" s="21">
        <f>IF(I87=P87,V87,IF(I87=Q87,W87,IF(I87=R87,X87,IF(I87=S87,Y87,IF(I87=" "," ",)))))</f>
        <v>0</v>
      </c>
      <c r="P87" s="299" t="s">
        <v>318</v>
      </c>
      <c r="Q87" s="299" t="s">
        <v>319</v>
      </c>
      <c r="R87" s="299" t="s">
        <v>320</v>
      </c>
      <c r="S87" s="299" t="s">
        <v>321</v>
      </c>
      <c r="V87" s="299" t="s">
        <v>322</v>
      </c>
      <c r="W87" s="299" t="s">
        <v>323</v>
      </c>
      <c r="X87" s="299" t="s">
        <v>324</v>
      </c>
      <c r="Y87" s="299" t="s">
        <v>325</v>
      </c>
    </row>
    <row r="88" spans="1:25" ht="49.5" customHeight="1" thickBot="1" thickTop="1">
      <c r="A88" s="331"/>
      <c r="B88" s="14" t="s">
        <v>271</v>
      </c>
      <c r="C88" s="7">
        <v>2</v>
      </c>
      <c r="D88" s="13"/>
      <c r="E88" s="8" t="s">
        <v>0</v>
      </c>
      <c r="F88" s="8" t="str">
        <f>"§25 ust. 1 pkt 2 "&amp;prawo!B5</f>
        <v>§25 ust. 1 pkt 2 rozporządzenia Ministra Zdrowia z dnia 26 czerwca 2012 r. w sprawie szczegółowych wymagań, jakim powinny odpowiadać pomieszczenia i urządzenia podmiotu wykonującego działalność leczniczą (Dz.U. z 2012 r. poz. 739);</v>
      </c>
      <c r="G88" s="8" t="s">
        <v>15</v>
      </c>
      <c r="H88" s="13"/>
      <c r="I88" s="13"/>
      <c r="J88" s="8" t="s">
        <v>0</v>
      </c>
      <c r="K88" s="21">
        <f>IF(I88=P88,V88,IF(I88=Q88,W88,IF(I88=R88,X88,IF(I88=S88,Y88,IF(I88=" "," ",)))))</f>
        <v>0</v>
      </c>
      <c r="P88" s="300" t="s">
        <v>318</v>
      </c>
      <c r="Q88" s="300" t="s">
        <v>319</v>
      </c>
      <c r="R88" s="300" t="s">
        <v>320</v>
      </c>
      <c r="S88" s="300" t="s">
        <v>321</v>
      </c>
      <c r="V88" s="300" t="s">
        <v>322</v>
      </c>
      <c r="W88" s="300" t="s">
        <v>323</v>
      </c>
      <c r="X88" s="300" t="s">
        <v>324</v>
      </c>
      <c r="Y88" s="300" t="s">
        <v>325</v>
      </c>
    </row>
    <row r="89" ht="49.5" customHeight="1" thickTop="1"/>
    <row r="90" spans="1:11" ht="49.5" customHeight="1">
      <c r="A90" s="316" t="s">
        <v>272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</row>
    <row r="91" spans="1:11" ht="49.5" customHeight="1" thickBot="1">
      <c r="A91" s="320" t="s">
        <v>2</v>
      </c>
      <c r="B91" s="322" t="s">
        <v>3</v>
      </c>
      <c r="C91" s="323"/>
      <c r="D91" s="309" t="s">
        <v>4</v>
      </c>
      <c r="E91" s="309" t="s">
        <v>5</v>
      </c>
      <c r="F91" s="309" t="s">
        <v>6</v>
      </c>
      <c r="G91" s="309" t="s">
        <v>7</v>
      </c>
      <c r="H91" s="309" t="s">
        <v>27</v>
      </c>
      <c r="I91" s="309" t="s">
        <v>9</v>
      </c>
      <c r="J91" s="309" t="s">
        <v>10</v>
      </c>
      <c r="K91" s="310" t="s">
        <v>11</v>
      </c>
    </row>
    <row r="92" spans="1:11" ht="49.5" customHeight="1" thickBot="1" thickTop="1">
      <c r="A92" s="321"/>
      <c r="B92" s="324"/>
      <c r="C92" s="325"/>
      <c r="D92" s="311">
        <v>1</v>
      </c>
      <c r="E92" s="311">
        <v>2</v>
      </c>
      <c r="F92" s="311">
        <v>3</v>
      </c>
      <c r="G92" s="311">
        <v>4</v>
      </c>
      <c r="H92" s="311">
        <v>5</v>
      </c>
      <c r="I92" s="311">
        <v>6</v>
      </c>
      <c r="J92" s="311">
        <v>7</v>
      </c>
      <c r="K92" s="312">
        <v>8</v>
      </c>
    </row>
    <row r="93" spans="1:25" ht="49.5" customHeight="1" thickBot="1" thickTop="1">
      <c r="A93" s="11" t="s">
        <v>273</v>
      </c>
      <c r="B93" s="15" t="s">
        <v>274</v>
      </c>
      <c r="C93" s="4">
        <v>1</v>
      </c>
      <c r="D93" s="13"/>
      <c r="E93" s="13" t="s">
        <v>0</v>
      </c>
      <c r="F93" s="13" t="str">
        <f>"§28 "&amp;prawo!B5</f>
        <v>§28 rozporządzenia Ministra Zdrowia z dnia 26 czerwca 2012 r. w sprawie szczegółowych wymagań, jakim powinny odpowiadać pomieszczenia i urządzenia podmiotu wykonującego działalność leczniczą (Dz.U. z 2012 r. poz. 739);</v>
      </c>
      <c r="G93" s="13" t="s">
        <v>15</v>
      </c>
      <c r="H93" s="13"/>
      <c r="I93" s="13" t="s">
        <v>0</v>
      </c>
      <c r="J93" s="13" t="s">
        <v>0</v>
      </c>
      <c r="K93" s="21">
        <f aca="true" t="shared" si="5" ref="K93:K98">IF(I93=P93,V93,IF(I93=Q93,W93,IF(I93=R93,X93,IF(I93=S93,Y93,IF(I93=" "," ",)))))</f>
        <v>0</v>
      </c>
      <c r="P93" s="301" t="s">
        <v>318</v>
      </c>
      <c r="Q93" s="301" t="s">
        <v>319</v>
      </c>
      <c r="R93" s="301" t="s">
        <v>320</v>
      </c>
      <c r="S93" s="301" t="s">
        <v>321</v>
      </c>
      <c r="V93" s="301" t="s">
        <v>322</v>
      </c>
      <c r="W93" s="301" t="s">
        <v>323</v>
      </c>
      <c r="X93" s="301" t="s">
        <v>324</v>
      </c>
      <c r="Y93" s="301" t="s">
        <v>325</v>
      </c>
    </row>
    <row r="94" spans="1:25" ht="49.5" customHeight="1" thickBot="1" thickTop="1">
      <c r="A94" s="327" t="s">
        <v>94</v>
      </c>
      <c r="B94" s="2" t="s">
        <v>275</v>
      </c>
      <c r="C94" s="3">
        <v>2</v>
      </c>
      <c r="D94" s="13"/>
      <c r="E94" s="1" t="s">
        <v>0</v>
      </c>
      <c r="F94" s="1" t="str">
        <f>"§2 pkt 5, §25 ust 4 "&amp;prawo!B5</f>
        <v>§2 pkt 5, §25 ust 4 rozporządzenia Ministra Zdrowia z dnia 26 czerwca 2012 r. w sprawie szczegółowych wymagań, jakim powinny odpowiadać pomieszczenia i urządzenia podmiotu wykonującego działalność leczniczą (Dz.U. z 2012 r. poz. 739);</v>
      </c>
      <c r="G94" s="1" t="s">
        <v>15</v>
      </c>
      <c r="H94" s="13"/>
      <c r="I94" s="13" t="s">
        <v>0</v>
      </c>
      <c r="J94" s="1" t="s">
        <v>0</v>
      </c>
      <c r="K94" s="21">
        <f t="shared" si="5"/>
        <v>0</v>
      </c>
      <c r="P94" s="302" t="s">
        <v>318</v>
      </c>
      <c r="Q94" s="302" t="s">
        <v>319</v>
      </c>
      <c r="R94" s="302" t="s">
        <v>320</v>
      </c>
      <c r="S94" s="302" t="s">
        <v>321</v>
      </c>
      <c r="V94" s="302" t="s">
        <v>322</v>
      </c>
      <c r="W94" s="302" t="s">
        <v>323</v>
      </c>
      <c r="X94" s="302" t="s">
        <v>324</v>
      </c>
      <c r="Y94" s="302" t="s">
        <v>325</v>
      </c>
    </row>
    <row r="95" spans="1:25" ht="49.5" customHeight="1" thickBot="1" thickTop="1">
      <c r="A95" s="329"/>
      <c r="B95" s="2" t="s">
        <v>276</v>
      </c>
      <c r="C95" s="3">
        <v>3</v>
      </c>
      <c r="D95" s="13"/>
      <c r="E95" s="1" t="s">
        <v>0</v>
      </c>
      <c r="F95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95" s="1" t="s">
        <v>15</v>
      </c>
      <c r="H95" s="13"/>
      <c r="I95" s="13" t="s">
        <v>0</v>
      </c>
      <c r="J95" s="1" t="s">
        <v>0</v>
      </c>
      <c r="K95" s="21">
        <f t="shared" si="5"/>
        <v>0</v>
      </c>
      <c r="P95" s="303" t="s">
        <v>318</v>
      </c>
      <c r="Q95" s="303" t="s">
        <v>319</v>
      </c>
      <c r="R95" s="303" t="s">
        <v>320</v>
      </c>
      <c r="S95" s="303" t="s">
        <v>321</v>
      </c>
      <c r="V95" s="303" t="s">
        <v>322</v>
      </c>
      <c r="W95" s="303" t="s">
        <v>323</v>
      </c>
      <c r="X95" s="303" t="s">
        <v>324</v>
      </c>
      <c r="Y95" s="303" t="s">
        <v>325</v>
      </c>
    </row>
    <row r="96" spans="1:25" ht="49.5" customHeight="1" thickBot="1" thickTop="1">
      <c r="A96" s="328"/>
      <c r="B96" s="2" t="s">
        <v>97</v>
      </c>
      <c r="C96" s="3">
        <v>4</v>
      </c>
      <c r="D96" s="13"/>
      <c r="E96" s="1" t="s">
        <v>0</v>
      </c>
      <c r="F96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96" s="1" t="s">
        <v>15</v>
      </c>
      <c r="H96" s="13"/>
      <c r="I96" s="13" t="s">
        <v>0</v>
      </c>
      <c r="J96" s="1" t="s">
        <v>0</v>
      </c>
      <c r="K96" s="21">
        <f t="shared" si="5"/>
        <v>0</v>
      </c>
      <c r="P96" s="304" t="s">
        <v>318</v>
      </c>
      <c r="Q96" s="304" t="s">
        <v>319</v>
      </c>
      <c r="R96" s="304" t="s">
        <v>320</v>
      </c>
      <c r="S96" s="304" t="s">
        <v>321</v>
      </c>
      <c r="V96" s="304" t="s">
        <v>322</v>
      </c>
      <c r="W96" s="304" t="s">
        <v>323</v>
      </c>
      <c r="X96" s="304" t="s">
        <v>324</v>
      </c>
      <c r="Y96" s="304" t="s">
        <v>325</v>
      </c>
    </row>
    <row r="97" spans="1:23" ht="49.5" customHeight="1" thickBot="1" thickTop="1">
      <c r="A97" s="327" t="s">
        <v>277</v>
      </c>
      <c r="B97" s="2" t="s">
        <v>278</v>
      </c>
      <c r="C97" s="3">
        <v>5</v>
      </c>
      <c r="D97" s="13"/>
      <c r="E97" s="1" t="s">
        <v>0</v>
      </c>
      <c r="F97" s="1" t="str">
        <f>"art. 11 ust. 2 pkt. 3 "&amp;prawo!B3</f>
        <v>art. 11 ust. 2 pkt. 3 ustawy z dnia 5 grudnia 2008 r. o zapobieganiu oraz zwalczaniu zakażeń i chorób zakaźnych u ludzi (tekst jednolity Dz.U. z 2018 poz. 151);</v>
      </c>
      <c r="G97" s="1" t="s">
        <v>87</v>
      </c>
      <c r="H97" s="13"/>
      <c r="I97" s="1" t="s">
        <v>0</v>
      </c>
      <c r="J97" s="1" t="s">
        <v>0</v>
      </c>
      <c r="K97" s="21">
        <f t="shared" si="5"/>
        <v>0</v>
      </c>
      <c r="P97" s="305" t="s">
        <v>333</v>
      </c>
      <c r="Q97" s="305" t="s">
        <v>334</v>
      </c>
      <c r="V97" s="305" t="s">
        <v>335</v>
      </c>
      <c r="W97" s="305" t="s">
        <v>336</v>
      </c>
    </row>
    <row r="98" spans="1:23" ht="49.5" customHeight="1" thickBot="1" thickTop="1">
      <c r="A98" s="331"/>
      <c r="B98" s="14" t="s">
        <v>98</v>
      </c>
      <c r="C98" s="7">
        <v>6</v>
      </c>
      <c r="D98" s="13"/>
      <c r="E98" s="8" t="s">
        <v>0</v>
      </c>
      <c r="F98" s="8" t="str">
        <f>"art. 11 ust. 2 pkt 3 "&amp;prawo!B3</f>
        <v>art. 11 ust. 2 pkt 3 ustawy z dnia 5 grudnia 2008 r. o zapobieganiu oraz zwalczaniu zakażeń i chorób zakaźnych u ludzi (tekst jednolity Dz.U. z 2018 poz. 151);</v>
      </c>
      <c r="G98" s="8" t="s">
        <v>87</v>
      </c>
      <c r="H98" s="13"/>
      <c r="I98" s="1" t="s">
        <v>0</v>
      </c>
      <c r="J98" s="8" t="s">
        <v>0</v>
      </c>
      <c r="K98" s="21">
        <f t="shared" si="5"/>
        <v>0</v>
      </c>
      <c r="P98" s="306" t="s">
        <v>333</v>
      </c>
      <c r="Q98" s="306" t="s">
        <v>334</v>
      </c>
      <c r="V98" s="306" t="s">
        <v>335</v>
      </c>
      <c r="W98" s="306" t="s">
        <v>336</v>
      </c>
    </row>
    <row r="99" spans="1:11" ht="49.5" customHeight="1" thickTop="1">
      <c r="A99" s="314" t="s">
        <v>279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</row>
    <row r="101" spans="1:11" ht="49.5" customHeight="1">
      <c r="A101" s="316" t="s">
        <v>280</v>
      </c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</row>
    <row r="102" spans="1:11" ht="49.5" customHeight="1" thickBot="1">
      <c r="A102" s="320" t="s">
        <v>2</v>
      </c>
      <c r="B102" s="322" t="s">
        <v>3</v>
      </c>
      <c r="C102" s="323"/>
      <c r="D102" s="309" t="s">
        <v>4</v>
      </c>
      <c r="E102" s="309" t="s">
        <v>5</v>
      </c>
      <c r="F102" s="309" t="s">
        <v>6</v>
      </c>
      <c r="G102" s="309" t="s">
        <v>7</v>
      </c>
      <c r="H102" s="309" t="s">
        <v>27</v>
      </c>
      <c r="I102" s="309" t="s">
        <v>9</v>
      </c>
      <c r="J102" s="309" t="s">
        <v>10</v>
      </c>
      <c r="K102" s="310" t="s">
        <v>11</v>
      </c>
    </row>
    <row r="103" spans="1:11" ht="49.5" customHeight="1" thickBot="1" thickTop="1">
      <c r="A103" s="321"/>
      <c r="B103" s="324"/>
      <c r="C103" s="325"/>
      <c r="D103" s="311">
        <v>1</v>
      </c>
      <c r="E103" s="311">
        <v>2</v>
      </c>
      <c r="F103" s="311">
        <v>3</v>
      </c>
      <c r="G103" s="311">
        <v>4</v>
      </c>
      <c r="H103" s="311">
        <v>5</v>
      </c>
      <c r="I103" s="311">
        <v>6</v>
      </c>
      <c r="J103" s="311">
        <v>7</v>
      </c>
      <c r="K103" s="312">
        <v>8</v>
      </c>
    </row>
    <row r="104" spans="1:23" ht="49.5" customHeight="1" thickBot="1" thickTop="1">
      <c r="A104" s="16" t="s">
        <v>281</v>
      </c>
      <c r="B104" s="17" t="s">
        <v>86</v>
      </c>
      <c r="C104" s="18">
        <v>1</v>
      </c>
      <c r="D104" s="13"/>
      <c r="E104" s="19" t="s">
        <v>0</v>
      </c>
      <c r="F104" s="19" t="str">
        <f>"art. 11 ust. 2 pkt 3 "&amp;prawo!B3</f>
        <v>art. 11 ust. 2 pkt 3 ustawy z dnia 5 grudnia 2008 r. o zapobieganiu oraz zwalczaniu zakażeń i chorób zakaźnych u ludzi (tekst jednolity Dz.U. z 2018 poz. 151);</v>
      </c>
      <c r="G104" s="19" t="s">
        <v>87</v>
      </c>
      <c r="H104" s="13"/>
      <c r="I104" s="19" t="s">
        <v>0</v>
      </c>
      <c r="J104" s="19" t="s">
        <v>0</v>
      </c>
      <c r="K104" s="21">
        <f>IF(I104=P104,V104,IF(I104=Q104,W104,IF(I104=R104,X104,IF(I104=S104,Y104,IF(I104=" "," ",)))))</f>
        <v>0</v>
      </c>
      <c r="P104" s="307" t="s">
        <v>333</v>
      </c>
      <c r="Q104" s="307" t="s">
        <v>334</v>
      </c>
      <c r="V104" s="307" t="s">
        <v>335</v>
      </c>
      <c r="W104" s="307" t="s">
        <v>336</v>
      </c>
    </row>
    <row r="105" spans="1:11" ht="49.5" customHeight="1" thickTop="1">
      <c r="A105" s="314" t="s">
        <v>282</v>
      </c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</row>
    <row r="107" spans="1:11" ht="49.5" customHeight="1">
      <c r="A107" s="316" t="s">
        <v>283</v>
      </c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</row>
    <row r="108" spans="1:11" ht="49.5" customHeight="1" thickBot="1">
      <c r="A108" s="320" t="s">
        <v>2</v>
      </c>
      <c r="B108" s="322" t="s">
        <v>3</v>
      </c>
      <c r="C108" s="323"/>
      <c r="D108" s="309" t="s">
        <v>4</v>
      </c>
      <c r="E108" s="309" t="s">
        <v>5</v>
      </c>
      <c r="F108" s="309" t="s">
        <v>6</v>
      </c>
      <c r="G108" s="309" t="s">
        <v>7</v>
      </c>
      <c r="H108" s="309" t="s">
        <v>27</v>
      </c>
      <c r="I108" s="309" t="s">
        <v>9</v>
      </c>
      <c r="J108" s="309" t="s">
        <v>10</v>
      </c>
      <c r="K108" s="310" t="s">
        <v>284</v>
      </c>
    </row>
    <row r="109" spans="1:11" ht="49.5" customHeight="1" thickBot="1" thickTop="1">
      <c r="A109" s="321"/>
      <c r="B109" s="324"/>
      <c r="C109" s="325"/>
      <c r="D109" s="311">
        <v>1</v>
      </c>
      <c r="E109" s="311">
        <v>2</v>
      </c>
      <c r="F109" s="311">
        <v>3</v>
      </c>
      <c r="G109" s="311">
        <v>4</v>
      </c>
      <c r="H109" s="311">
        <v>5</v>
      </c>
      <c r="I109" s="311">
        <v>6</v>
      </c>
      <c r="J109" s="311">
        <v>7</v>
      </c>
      <c r="K109" s="312">
        <v>8</v>
      </c>
    </row>
    <row r="110" spans="1:11" ht="49.5" customHeight="1" thickBot="1" thickTop="1">
      <c r="A110" s="11" t="s">
        <v>285</v>
      </c>
      <c r="B110" s="15" t="s">
        <v>286</v>
      </c>
      <c r="C110" s="4">
        <v>1</v>
      </c>
      <c r="D110" s="13"/>
      <c r="E110" s="13" t="s">
        <v>0</v>
      </c>
      <c r="F110" s="13" t="str">
        <f>"art. 11 ust. 2 pkt 3, 4 "&amp;prawo!B3</f>
        <v>art. 11 ust. 2 pkt 3, 4 ustawy z dnia 5 grudnia 2008 r. o zapobieganiu oraz zwalczaniu zakażeń i chorób zakaźnych u ludzi (tekst jednolity Dz.U. z 2018 poz. 151);</v>
      </c>
      <c r="G110" s="13" t="s">
        <v>15</v>
      </c>
      <c r="H110" s="13" t="s">
        <v>14</v>
      </c>
      <c r="I110" s="13" t="s">
        <v>287</v>
      </c>
      <c r="J110" s="13" t="s">
        <v>287</v>
      </c>
      <c r="K110" s="12" t="s">
        <v>287</v>
      </c>
    </row>
    <row r="111" spans="1:11" ht="49.5" customHeight="1" thickBot="1" thickTop="1">
      <c r="A111" s="327" t="s">
        <v>288</v>
      </c>
      <c r="B111" s="2" t="s">
        <v>289</v>
      </c>
      <c r="C111" s="3">
        <v>2</v>
      </c>
      <c r="D111" s="13"/>
      <c r="E111" s="1" t="s">
        <v>0</v>
      </c>
      <c r="F111" s="1" t="str">
        <f>"art. 11 ust. 2 pkt 6 "&amp;prawo!B3</f>
        <v>art. 11 ust. 2 pkt 6 ustawy z dnia 5 grudnia 2008 r. o zapobieganiu oraz zwalczaniu zakażeń i chorób zakaźnych u ludzi (tekst jednolity Dz.U. z 2018 poz. 151);</v>
      </c>
      <c r="G111" s="1" t="s">
        <v>15</v>
      </c>
      <c r="H111" s="1" t="s">
        <v>14</v>
      </c>
      <c r="I111" s="1" t="s">
        <v>287</v>
      </c>
      <c r="J111" s="1" t="s">
        <v>287</v>
      </c>
      <c r="K111" s="9" t="s">
        <v>287</v>
      </c>
    </row>
    <row r="112" spans="1:11" ht="49.5" customHeight="1" thickBot="1" thickTop="1">
      <c r="A112" s="329"/>
      <c r="B112" s="2" t="s">
        <v>290</v>
      </c>
      <c r="C112" s="3">
        <v>3</v>
      </c>
      <c r="D112" s="13"/>
      <c r="E112" s="1" t="s">
        <v>0</v>
      </c>
      <c r="F112" s="1" t="str">
        <f>"§4 ust. 1 "&amp;prawo!B11</f>
        <v>§4 ust. 1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2" s="1" t="s">
        <v>15</v>
      </c>
      <c r="H112" s="1" t="s">
        <v>14</v>
      </c>
      <c r="I112" s="1" t="s">
        <v>287</v>
      </c>
      <c r="J112" s="1" t="s">
        <v>287</v>
      </c>
      <c r="K112" s="9" t="s">
        <v>287</v>
      </c>
    </row>
    <row r="113" spans="1:11" ht="49.5" customHeight="1" thickBot="1" thickTop="1">
      <c r="A113" s="329"/>
      <c r="B113" s="2" t="s">
        <v>291</v>
      </c>
      <c r="C113" s="3">
        <v>4</v>
      </c>
      <c r="D113" s="13"/>
      <c r="E113" s="1" t="s">
        <v>0</v>
      </c>
      <c r="F113" s="1" t="str">
        <f>"§5 ust. 1 "&amp;prawo!B11</f>
        <v>§5 ust. 1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3" s="1" t="s">
        <v>15</v>
      </c>
      <c r="H113" s="1" t="s">
        <v>14</v>
      </c>
      <c r="I113" s="1" t="s">
        <v>287</v>
      </c>
      <c r="J113" s="1" t="s">
        <v>287</v>
      </c>
      <c r="K113" s="9" t="s">
        <v>287</v>
      </c>
    </row>
    <row r="114" spans="1:11" ht="49.5" customHeight="1" thickBot="1" thickTop="1">
      <c r="A114" s="329"/>
      <c r="B114" s="2" t="s">
        <v>292</v>
      </c>
      <c r="C114" s="3">
        <v>5</v>
      </c>
      <c r="D114" s="13"/>
      <c r="E114" s="1" t="s">
        <v>0</v>
      </c>
      <c r="F114" s="1" t="str">
        <f>"§7 "&amp;prawo!B11</f>
        <v>§7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4" s="1" t="s">
        <v>15</v>
      </c>
      <c r="H114" s="1" t="s">
        <v>14</v>
      </c>
      <c r="I114" s="1" t="s">
        <v>287</v>
      </c>
      <c r="J114" s="1" t="s">
        <v>287</v>
      </c>
      <c r="K114" s="9" t="s">
        <v>287</v>
      </c>
    </row>
    <row r="115" spans="1:11" ht="49.5" customHeight="1" thickBot="1" thickTop="1">
      <c r="A115" s="329"/>
      <c r="B115" s="2" t="s">
        <v>293</v>
      </c>
      <c r="C115" s="3">
        <v>6</v>
      </c>
      <c r="D115" s="13"/>
      <c r="E115" s="1" t="s">
        <v>0</v>
      </c>
      <c r="F115" s="1" t="str">
        <f>"§4 ust. 4 "&amp;prawo!B11</f>
        <v>§4 ust. 4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5" s="1" t="s">
        <v>15</v>
      </c>
      <c r="H115" s="1" t="s">
        <v>14</v>
      </c>
      <c r="I115" s="1" t="s">
        <v>287</v>
      </c>
      <c r="J115" s="1" t="s">
        <v>287</v>
      </c>
      <c r="K115" s="9" t="s">
        <v>287</v>
      </c>
    </row>
    <row r="116" spans="1:11" ht="49.5" customHeight="1" thickBot="1" thickTop="1">
      <c r="A116" s="329"/>
      <c r="B116" s="2" t="s">
        <v>294</v>
      </c>
      <c r="C116" s="3">
        <v>7</v>
      </c>
      <c r="D116" s="13"/>
      <c r="E116" s="1" t="s">
        <v>0</v>
      </c>
      <c r="F116" s="1" t="str">
        <f>"§2 "&amp;prawo!B11</f>
        <v>§2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6" s="1" t="s">
        <v>15</v>
      </c>
      <c r="H116" s="1" t="s">
        <v>14</v>
      </c>
      <c r="I116" s="1" t="s">
        <v>287</v>
      </c>
      <c r="J116" s="1" t="s">
        <v>287</v>
      </c>
      <c r="K116" s="9" t="s">
        <v>287</v>
      </c>
    </row>
    <row r="117" spans="1:11" ht="49.5" customHeight="1" thickBot="1" thickTop="1">
      <c r="A117" s="329"/>
      <c r="B117" s="2" t="s">
        <v>295</v>
      </c>
      <c r="C117" s="3">
        <v>8</v>
      </c>
      <c r="D117" s="13"/>
      <c r="E117" s="1" t="s">
        <v>0</v>
      </c>
      <c r="F117" s="1" t="str">
        <f>"§2 ust. 1 pkt 3 "&amp;prawo!B11</f>
        <v>§2 ust. 1 pkt 3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7" s="1" t="s">
        <v>15</v>
      </c>
      <c r="H117" s="1" t="s">
        <v>14</v>
      </c>
      <c r="I117" s="1" t="s">
        <v>287</v>
      </c>
      <c r="J117" s="1" t="s">
        <v>287</v>
      </c>
      <c r="K117" s="9" t="s">
        <v>287</v>
      </c>
    </row>
    <row r="118" spans="1:11" ht="49.5" customHeight="1" thickBot="1" thickTop="1">
      <c r="A118" s="328"/>
      <c r="B118" s="2" t="s">
        <v>296</v>
      </c>
      <c r="C118" s="3">
        <v>9</v>
      </c>
      <c r="D118" s="13"/>
      <c r="E118" s="1" t="s">
        <v>0</v>
      </c>
      <c r="F118" s="1" t="str">
        <f>"§2 ust. 1 pkt 4 "&amp;prawo!B11</f>
        <v>§2 ust. 1 pkt 4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18" s="1" t="s">
        <v>15</v>
      </c>
      <c r="H118" s="1" t="s">
        <v>14</v>
      </c>
      <c r="I118" s="1" t="s">
        <v>287</v>
      </c>
      <c r="J118" s="1" t="s">
        <v>287</v>
      </c>
      <c r="K118" s="9" t="s">
        <v>287</v>
      </c>
    </row>
    <row r="119" spans="1:11" ht="49.5" customHeight="1" thickBot="1" thickTop="1">
      <c r="A119" s="5" t="s">
        <v>297</v>
      </c>
      <c r="B119" s="2" t="s">
        <v>298</v>
      </c>
      <c r="C119" s="3">
        <v>10</v>
      </c>
      <c r="D119" s="13"/>
      <c r="E119" s="1" t="s">
        <v>0</v>
      </c>
      <c r="F119" s="1" t="str">
        <f>"art. 11 ust. 2 pkt 3 "&amp;prawo!B3</f>
        <v>art. 11 ust. 2 pkt 3 ustawy z dnia 5 grudnia 2008 r. o zapobieganiu oraz zwalczaniu zakażeń i chorób zakaźnych u ludzi (tekst jednolity Dz.U. z 2018 poz. 151);</v>
      </c>
      <c r="G119" s="1" t="s">
        <v>87</v>
      </c>
      <c r="H119" s="1" t="s">
        <v>14</v>
      </c>
      <c r="I119" s="1" t="s">
        <v>287</v>
      </c>
      <c r="J119" s="1" t="s">
        <v>287</v>
      </c>
      <c r="K119" s="9" t="s">
        <v>287</v>
      </c>
    </row>
    <row r="120" spans="1:11" ht="49.5" customHeight="1" thickBot="1" thickTop="1">
      <c r="A120" s="5" t="s">
        <v>299</v>
      </c>
      <c r="B120" s="2" t="s">
        <v>300</v>
      </c>
      <c r="C120" s="3">
        <v>11</v>
      </c>
      <c r="D120" s="13"/>
      <c r="E120" s="1" t="s">
        <v>0</v>
      </c>
      <c r="F120" s="1" t="str">
        <f>"załącznik nr 1 XI ust. 2 "&amp;prawo!B5</f>
        <v>załącznik nr 1 XI ust. 2 rozporządzenia Ministra Zdrowia z dnia 26 czerwca 2012 r. w sprawie szczegółowych wymagań, jakim powinny odpowiadać pomieszczenia i urządzenia podmiotu wykonującego działalność leczniczą (Dz.U. z 2012 r. poz. 739);</v>
      </c>
      <c r="G120" s="1" t="s">
        <v>15</v>
      </c>
      <c r="H120" s="1" t="s">
        <v>14</v>
      </c>
      <c r="I120" s="1" t="s">
        <v>287</v>
      </c>
      <c r="J120" s="1" t="s">
        <v>287</v>
      </c>
      <c r="K120" s="9" t="s">
        <v>287</v>
      </c>
    </row>
    <row r="121" spans="1:11" ht="49.5" customHeight="1" thickBot="1" thickTop="1">
      <c r="A121" s="5" t="s">
        <v>301</v>
      </c>
      <c r="B121" s="2" t="s">
        <v>302</v>
      </c>
      <c r="C121" s="3">
        <v>12</v>
      </c>
      <c r="D121" s="13"/>
      <c r="E121" s="1" t="s">
        <v>0</v>
      </c>
      <c r="F121" s="1" t="str">
        <f>"art. 11 ust. 2 pkt 3, art. 22 "&amp;prawo!B3&amp;"  oraz art. 67 ust 1 pkt 1a "&amp;prawo!B14</f>
        <v>art. 11 ust. 2 pkt 3, art. 22 ustawy z dnia 5 grudnia 2008 r. o zapobieganiu oraz zwalczaniu zakażeń i chorób zakaźnych u ludzi (tekst jednolity Dz.U. z 2018 poz. 151);  oraz art. 67 ust 1 pkt 1a ustawy z dnia 14 grudnia 2012 r. o odpadach (tj. Dz. U. z 2018 r. poz. 992)</v>
      </c>
      <c r="G121" s="1" t="s">
        <v>15</v>
      </c>
      <c r="H121" s="1" t="s">
        <v>14</v>
      </c>
      <c r="I121" s="1" t="s">
        <v>287</v>
      </c>
      <c r="J121" s="1" t="s">
        <v>287</v>
      </c>
      <c r="K121" s="9" t="s">
        <v>287</v>
      </c>
    </row>
    <row r="122" spans="1:11" ht="49.5" customHeight="1" thickBot="1" thickTop="1">
      <c r="A122" s="5" t="s">
        <v>303</v>
      </c>
      <c r="B122" s="2" t="s">
        <v>304</v>
      </c>
      <c r="C122" s="3">
        <v>13</v>
      </c>
      <c r="D122" s="13"/>
      <c r="E122" s="1" t="s">
        <v>0</v>
      </c>
      <c r="F122" s="1" t="str">
        <f>"art. 30 "&amp;prawo!B1</f>
        <v>art. 30 ustawy z dnia 14 marca 1985 r. o Państwowej Inspekcji Sanitarnej (tekst jednolity Dz.U. z 2017 poz. 1261 z późn. zm.);</v>
      </c>
      <c r="G122" s="1" t="s">
        <v>15</v>
      </c>
      <c r="H122" s="1" t="s">
        <v>14</v>
      </c>
      <c r="I122" s="1" t="s">
        <v>287</v>
      </c>
      <c r="J122" s="1" t="s">
        <v>287</v>
      </c>
      <c r="K122" s="9" t="s">
        <v>287</v>
      </c>
    </row>
    <row r="123" spans="1:11" ht="49.5" customHeight="1" thickBot="1" thickTop="1">
      <c r="A123" s="5" t="s">
        <v>305</v>
      </c>
      <c r="B123" s="2" t="s">
        <v>306</v>
      </c>
      <c r="C123" s="3">
        <v>14</v>
      </c>
      <c r="D123" s="13"/>
      <c r="E123" s="1" t="s">
        <v>0</v>
      </c>
      <c r="F123" s="1" t="str">
        <f>"art. 27 ust. 1, art. 52 pkt 4 "&amp;prawo!B3&amp;" oraz art. 24 "&amp;prawo!B8&amp;" oraz art. 96, §1 "&amp;prawo!B9</f>
        <v>art. 27 ust. 1, art. 52 pkt 4 ustawy z dnia 5 grudnia 2008 r. o zapobieganiu oraz zwalczaniu zakażeń i chorób zakaźnych u ludzi (tekst jednolity Dz.U. z 2018 poz. 151); oraz art. 24 ustawy z dnia 20 maja 1971 r. Kodeks wykroczeń (t.j. Dz. U. z 2018 r. poz. 618, 911); oraz art. 96, §1 ustawy z dnia 24 sierpnia 2001 r. Kodeks postępowania w sprawach o wykroczenia (t.j. Dz. U. z 2018 r. poz. 475, 1039, 1467)</v>
      </c>
      <c r="G123" s="1" t="s">
        <v>307</v>
      </c>
      <c r="H123" s="1" t="s">
        <v>14</v>
      </c>
      <c r="I123" s="1" t="s">
        <v>287</v>
      </c>
      <c r="J123" s="1" t="s">
        <v>287</v>
      </c>
      <c r="K123" s="9" t="s">
        <v>287</v>
      </c>
    </row>
    <row r="124" spans="1:11" ht="49.5" customHeight="1" thickBot="1" thickTop="1">
      <c r="A124" s="6" t="s">
        <v>308</v>
      </c>
      <c r="B124" s="14" t="s">
        <v>309</v>
      </c>
      <c r="C124" s="7">
        <v>15</v>
      </c>
      <c r="D124" s="13"/>
      <c r="E124" s="8" t="s">
        <v>0</v>
      </c>
      <c r="F124" s="8" t="str">
        <f>"§39 ust. 1, 2 "&amp;prawo!B5</f>
        <v>§39 ust. 1, 2 rozporządzenia Ministra Zdrowia z dnia 26 czerwca 2012 r. w sprawie szczegółowych wymagań, jakim powinny odpowiadać pomieszczenia i urządzenia podmiotu wykonującego działalność leczniczą (Dz.U. z 2012 r. poz. 739);</v>
      </c>
      <c r="G124" s="8" t="s">
        <v>15</v>
      </c>
      <c r="H124" s="8" t="s">
        <v>14</v>
      </c>
      <c r="I124" s="8" t="s">
        <v>287</v>
      </c>
      <c r="J124" s="8" t="s">
        <v>287</v>
      </c>
      <c r="K124" s="10" t="s">
        <v>287</v>
      </c>
    </row>
    <row r="125" ht="49.5" customHeight="1" thickTop="1"/>
    <row r="126" spans="1:11" ht="49.5" customHeight="1">
      <c r="A126" s="316" t="s">
        <v>310</v>
      </c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</row>
    <row r="127" spans="1:11" ht="49.5" customHeight="1" thickBot="1">
      <c r="A127" s="320" t="s">
        <v>2</v>
      </c>
      <c r="B127" s="322" t="s">
        <v>3</v>
      </c>
      <c r="C127" s="323"/>
      <c r="D127" s="309" t="s">
        <v>4</v>
      </c>
      <c r="E127" s="309" t="s">
        <v>5</v>
      </c>
      <c r="F127" s="309" t="s">
        <v>6</v>
      </c>
      <c r="G127" s="309" t="s">
        <v>7</v>
      </c>
      <c r="H127" s="309" t="s">
        <v>27</v>
      </c>
      <c r="I127" s="309" t="s">
        <v>9</v>
      </c>
      <c r="J127" s="309" t="s">
        <v>10</v>
      </c>
      <c r="K127" s="310" t="s">
        <v>284</v>
      </c>
    </row>
    <row r="128" spans="1:11" ht="49.5" customHeight="1" thickBot="1" thickTop="1">
      <c r="A128" s="321"/>
      <c r="B128" s="324"/>
      <c r="C128" s="325"/>
      <c r="D128" s="311">
        <v>1</v>
      </c>
      <c r="E128" s="311">
        <v>2</v>
      </c>
      <c r="F128" s="311">
        <v>3</v>
      </c>
      <c r="G128" s="311">
        <v>4</v>
      </c>
      <c r="H128" s="311">
        <v>5</v>
      </c>
      <c r="I128" s="311">
        <v>6</v>
      </c>
      <c r="J128" s="311">
        <v>7</v>
      </c>
      <c r="K128" s="312">
        <v>8</v>
      </c>
    </row>
    <row r="129" spans="1:11" ht="49.5" customHeight="1" thickBot="1" thickTop="1">
      <c r="A129" s="330" t="s">
        <v>311</v>
      </c>
      <c r="B129" s="15" t="s">
        <v>312</v>
      </c>
      <c r="C129" s="4">
        <v>1</v>
      </c>
      <c r="D129" s="13"/>
      <c r="E129" s="13" t="s">
        <v>0</v>
      </c>
      <c r="F129" s="13" t="str">
        <f>"art. 5 ust. 1 pkt 1, art. 13 ust. 2 "&amp;prawo!B4</f>
        <v>art. 5 ust. 1 pkt 1, art. 13 ust. 2 ustawy z dnia 9 listopada 1995 r. o ochronie zdrowia przed następstwami używania tytoniu i wyrobów tytoniowych (t.j. Dz.U. z 2018 r. poz. 1446);</v>
      </c>
      <c r="G129" s="13" t="s">
        <v>313</v>
      </c>
      <c r="H129" s="13" t="s">
        <v>14</v>
      </c>
      <c r="I129" s="13" t="s">
        <v>287</v>
      </c>
      <c r="J129" s="13" t="s">
        <v>287</v>
      </c>
      <c r="K129" s="12" t="s">
        <v>287</v>
      </c>
    </row>
    <row r="130" spans="1:23" ht="49.5" customHeight="1" thickBot="1" thickTop="1">
      <c r="A130" s="331"/>
      <c r="B130" s="14" t="s">
        <v>314</v>
      </c>
      <c r="C130" s="7">
        <v>2</v>
      </c>
      <c r="D130" s="13"/>
      <c r="E130" s="8" t="s">
        <v>0</v>
      </c>
      <c r="F130" s="8" t="str">
        <f>"art. 5 ust. 1a, art. 13 ust. 1 pkt 2 "&amp;prawo!B4</f>
        <v>art. 5 ust. 1a, art. 13 ust. 1 pkt 2 ustawy z dnia 9 listopada 1995 r. o ochronie zdrowia przed następstwami używania tytoniu i wyrobów tytoniowych (t.j. Dz.U. z 2018 r. poz. 1446);</v>
      </c>
      <c r="G130" s="8" t="s">
        <v>315</v>
      </c>
      <c r="H130" s="13"/>
      <c r="I130" s="8" t="s">
        <v>0</v>
      </c>
      <c r="J130" s="8" t="s">
        <v>0</v>
      </c>
      <c r="K130" s="21">
        <f>IF(I130=P130,V130,IF(I130=Q130,W130,IF(I130=R130,X130,IF(I130=S130,Y130,IF(I130=" "," ",)))))</f>
        <v>0</v>
      </c>
      <c r="P130" s="308" t="s">
        <v>337</v>
      </c>
      <c r="Q130" s="308" t="s">
        <v>334</v>
      </c>
      <c r="V130" s="308" t="s">
        <v>338</v>
      </c>
      <c r="W130" s="308" t="s">
        <v>339</v>
      </c>
    </row>
    <row r="131" ht="49.5" customHeight="1" thickTop="1"/>
  </sheetData>
  <sheetProtection/>
  <mergeCells count="55">
    <mergeCell ref="A127:A128"/>
    <mergeCell ref="B127:C128"/>
    <mergeCell ref="A129:A130"/>
    <mergeCell ref="A107:K107"/>
    <mergeCell ref="A108:A109"/>
    <mergeCell ref="B108:C109"/>
    <mergeCell ref="A111:A118"/>
    <mergeCell ref="A126:K126"/>
    <mergeCell ref="A99:K99"/>
    <mergeCell ref="A101:K101"/>
    <mergeCell ref="A102:A103"/>
    <mergeCell ref="B102:C103"/>
    <mergeCell ref="A105:K105"/>
    <mergeCell ref="A90:K90"/>
    <mergeCell ref="A91:A92"/>
    <mergeCell ref="B91:C92"/>
    <mergeCell ref="A94:A96"/>
    <mergeCell ref="A97:A98"/>
    <mergeCell ref="A82:K82"/>
    <mergeCell ref="A84:K84"/>
    <mergeCell ref="A85:A86"/>
    <mergeCell ref="B85:C86"/>
    <mergeCell ref="A87:A88"/>
    <mergeCell ref="A69:K69"/>
    <mergeCell ref="A70:A71"/>
    <mergeCell ref="B70:C71"/>
    <mergeCell ref="A72:A79"/>
    <mergeCell ref="A80:A81"/>
    <mergeCell ref="A56:K56"/>
    <mergeCell ref="A57:A58"/>
    <mergeCell ref="B57:C58"/>
    <mergeCell ref="A59:A66"/>
    <mergeCell ref="A67:K67"/>
    <mergeCell ref="A40:A47"/>
    <mergeCell ref="A49:K49"/>
    <mergeCell ref="A50:A51"/>
    <mergeCell ref="B50:C51"/>
    <mergeCell ref="A54:K54"/>
    <mergeCell ref="A29:A33"/>
    <mergeCell ref="A35:K35"/>
    <mergeCell ref="A37:K37"/>
    <mergeCell ref="A38:A39"/>
    <mergeCell ref="B38:C39"/>
    <mergeCell ref="A18:A19"/>
    <mergeCell ref="B18:C19"/>
    <mergeCell ref="A23:K23"/>
    <mergeCell ref="A25:K25"/>
    <mergeCell ref="A26:A27"/>
    <mergeCell ref="B26:C27"/>
    <mergeCell ref="A15:K15"/>
    <mergeCell ref="A17:K17"/>
    <mergeCell ref="A1:K2"/>
    <mergeCell ref="A3:K3"/>
    <mergeCell ref="A4:A5"/>
    <mergeCell ref="B4:C5"/>
  </mergeCells>
  <dataValidations count="9">
    <dataValidation type="list" allowBlank="1" showInputMessage="1" showErrorMessage="1" sqref="D6:D14 D20:D22 D28:D34 D87:D88 D93:D98 D104 D110:D124 D129:D130">
      <formula1>$P$1:$P$3</formula1>
    </dataValidation>
    <dataValidation type="list" allowBlank="1" showInputMessage="1" showErrorMessage="1" sqref="H6:H14 H20:H22 H28:H34 H40:H47 H52:H53 H59:H66 H72:H81 H87:H88 H93:H98 H104 H130">
      <formula1>$P$1:$P$2</formula1>
    </dataValidation>
    <dataValidation type="list" allowBlank="1" showInputMessage="1" showErrorMessage="1" sqref="I6:I14 I20:I22 I28:I34">
      <formula1>$P$6:$S$6</formula1>
    </dataValidation>
    <dataValidation type="list" allowBlank="1" showInputMessage="1" showErrorMessage="1" sqref="I40:I47 I52:I53 I59:I66 I72:I81">
      <formula1>$P$40:$R$40</formula1>
    </dataValidation>
    <dataValidation type="list" allowBlank="1" showInputMessage="1" showErrorMessage="1" sqref="I87:I88">
      <formula1>$P$87:$S$87</formula1>
    </dataValidation>
    <dataValidation type="list" allowBlank="1" showInputMessage="1" showErrorMessage="1" sqref="I93:I96">
      <formula1>$P$93:$S$93</formula1>
    </dataValidation>
    <dataValidation type="list" allowBlank="1" showInputMessage="1" showErrorMessage="1" sqref="I97:I98">
      <formula1>$P$97:$Q$97</formula1>
    </dataValidation>
    <dataValidation type="list" allowBlank="1" showInputMessage="1" showErrorMessage="1" sqref="I104">
      <formula1>$P$104:$Q$104</formula1>
    </dataValidation>
    <dataValidation type="list" allowBlank="1" showInputMessage="1" showErrorMessage="1" sqref="I130">
      <formula1>$P$130:$Q$130</formula1>
    </dataValidation>
  </dataValidations>
  <printOptions/>
  <pageMargins left="0.7" right="0.2" top="0.2" bottom="0.2" header="0.5" footer="0.5"/>
  <pageSetup horizontalDpi="300" verticalDpi="300" orientation="portrait" scale="40" r:id="rId1"/>
  <rowBreaks count="1" manualBreakCount="1">
    <brk id="15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B14"/>
  <sheetViews>
    <sheetView zoomScalePageLayoutView="0" workbookViewId="0" topLeftCell="A1">
      <selection activeCell="A1" sqref="A1:IV14"/>
    </sheetView>
  </sheetViews>
  <sheetFormatPr defaultColWidth="9.140625" defaultRowHeight="12.75"/>
  <cols>
    <col min="1" max="1" width="9.140625" style="313" customWidth="1"/>
    <col min="2" max="2" width="226.57421875" style="313" bestFit="1" customWidth="1"/>
    <col min="3" max="16384" width="9.140625" style="313" customWidth="1"/>
  </cols>
  <sheetData>
    <row r="1" spans="1:2" ht="12.75">
      <c r="A1" s="313">
        <v>1</v>
      </c>
      <c r="B1" s="313" t="s">
        <v>345</v>
      </c>
    </row>
    <row r="2" spans="1:2" ht="12.75">
      <c r="A2" s="313">
        <v>2</v>
      </c>
      <c r="B2" s="313" t="s">
        <v>346</v>
      </c>
    </row>
    <row r="3" spans="1:2" ht="12.75">
      <c r="A3" s="313">
        <v>3</v>
      </c>
      <c r="B3" s="313" t="s">
        <v>347</v>
      </c>
    </row>
    <row r="4" spans="1:2" ht="12.75">
      <c r="A4" s="313">
        <v>4</v>
      </c>
      <c r="B4" s="313" t="s">
        <v>348</v>
      </c>
    </row>
    <row r="5" spans="1:2" ht="12.75">
      <c r="A5" s="313">
        <v>5</v>
      </c>
      <c r="B5" s="313" t="s">
        <v>349</v>
      </c>
    </row>
    <row r="6" spans="1:2" ht="12.75">
      <c r="A6" s="313">
        <v>6</v>
      </c>
      <c r="B6" s="313" t="s">
        <v>350</v>
      </c>
    </row>
    <row r="7" spans="1:2" ht="12.75">
      <c r="A7" s="313">
        <v>7</v>
      </c>
      <c r="B7" s="313" t="s">
        <v>351</v>
      </c>
    </row>
    <row r="8" spans="1:2" ht="12.75">
      <c r="A8" s="313">
        <v>8</v>
      </c>
      <c r="B8" s="313" t="s">
        <v>352</v>
      </c>
    </row>
    <row r="9" spans="1:2" ht="12.75">
      <c r="A9" s="313">
        <v>9</v>
      </c>
      <c r="B9" s="313" t="s">
        <v>353</v>
      </c>
    </row>
    <row r="10" spans="1:2" ht="12.75">
      <c r="A10" s="313">
        <v>10</v>
      </c>
      <c r="B10" s="313" t="s">
        <v>354</v>
      </c>
    </row>
    <row r="11" spans="1:2" ht="12.75">
      <c r="A11" s="313">
        <v>11</v>
      </c>
      <c r="B11" s="313" t="s">
        <v>355</v>
      </c>
    </row>
    <row r="12" spans="1:2" ht="12.75">
      <c r="A12" s="313">
        <v>12</v>
      </c>
      <c r="B12" s="313" t="s">
        <v>356</v>
      </c>
    </row>
    <row r="13" spans="1:2" ht="12.75">
      <c r="A13" s="313">
        <v>13</v>
      </c>
      <c r="B13" s="313" t="s">
        <v>357</v>
      </c>
    </row>
    <row r="14" spans="1:2" ht="12.75">
      <c r="A14" s="313">
        <v>14</v>
      </c>
      <c r="B14" s="313" t="s">
        <v>358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Tenderowicz</dc:creator>
  <cp:keywords/>
  <dc:description/>
  <cp:lastModifiedBy>Magdalena Michałejko</cp:lastModifiedBy>
  <dcterms:created xsi:type="dcterms:W3CDTF">2017-07-25T08:14:21Z</dcterms:created>
  <dcterms:modified xsi:type="dcterms:W3CDTF">2018-09-13T06:29:31Z</dcterms:modified>
  <cp:category/>
  <cp:version/>
  <cp:contentType/>
  <cp:contentStatus/>
</cp:coreProperties>
</file>